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7995" activeTab="6"/>
  </bookViews>
  <sheets>
    <sheet name="Лист4" sheetId="29" r:id="rId1"/>
    <sheet name="Лист5" sheetId="30" r:id="rId2"/>
    <sheet name="Лист2" sheetId="31" r:id="rId3"/>
    <sheet name="Лист3" sheetId="32" r:id="rId4"/>
    <sheet name="Лист6" sheetId="33" r:id="rId5"/>
    <sheet name="Лист7" sheetId="34" r:id="rId6"/>
    <sheet name="Лист1" sheetId="1" r:id="rId7"/>
  </sheets>
  <calcPr calcId="144525"/>
</workbook>
</file>

<file path=xl/calcChain.xml><?xml version="1.0" encoding="utf-8"?>
<calcChain xmlns="http://schemas.openxmlformats.org/spreadsheetml/2006/main">
  <c r="B26" i="1" l="1"/>
  <c r="B25" i="1"/>
  <c r="B24" i="1"/>
  <c r="B23" i="1"/>
  <c r="B22" i="1"/>
  <c r="B21" i="1"/>
  <c r="B20" i="1"/>
  <c r="B19" i="1"/>
  <c r="B18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1" i="1"/>
  <c r="H12" i="1"/>
  <c r="H10" i="1"/>
  <c r="H9" i="1"/>
  <c r="H8" i="1"/>
  <c r="H7" i="1"/>
  <c r="H6" i="1"/>
  <c r="H5" i="1"/>
  <c r="H4" i="1"/>
  <c r="H3" i="1"/>
  <c r="H2" i="1"/>
  <c r="O11" i="1" l="1"/>
  <c r="P18" i="1"/>
  <c r="P20" i="1"/>
  <c r="P22" i="1"/>
  <c r="P24" i="1"/>
  <c r="P26" i="1"/>
  <c r="P3" i="1"/>
  <c r="P5" i="1"/>
  <c r="P7" i="1"/>
  <c r="P9" i="1"/>
  <c r="P13" i="1"/>
  <c r="P15" i="1"/>
  <c r="P2" i="1"/>
  <c r="P4" i="1"/>
  <c r="P6" i="1"/>
  <c r="P8" i="1"/>
  <c r="P10" i="1"/>
  <c r="P12" i="1"/>
  <c r="P14" i="1"/>
  <c r="P16" i="1"/>
  <c r="P19" i="1"/>
  <c r="P21" i="1"/>
  <c r="P25" i="1"/>
  <c r="P11" i="1"/>
  <c r="O23" i="1"/>
  <c r="O19" i="1"/>
  <c r="P23" i="1"/>
  <c r="O3" i="1"/>
  <c r="O5" i="1"/>
  <c r="O7" i="1"/>
  <c r="O9" i="1"/>
  <c r="O13" i="1"/>
  <c r="O15" i="1"/>
  <c r="O18" i="1"/>
  <c r="O22" i="1"/>
  <c r="O4" i="1"/>
  <c r="O8" i="1"/>
  <c r="O12" i="1"/>
  <c r="O16" i="1"/>
  <c r="O21" i="1"/>
  <c r="O25" i="1"/>
  <c r="O20" i="1"/>
  <c r="O24" i="1"/>
  <c r="O2" i="1"/>
  <c r="O6" i="1"/>
  <c r="O10" i="1"/>
  <c r="O14" i="1"/>
  <c r="O26" i="1"/>
  <c r="B17" i="1"/>
  <c r="K26" i="1"/>
  <c r="K15" i="1"/>
  <c r="K16" i="1"/>
  <c r="K17" i="1"/>
  <c r="K18" i="1"/>
  <c r="K19" i="1"/>
  <c r="K20" i="1"/>
  <c r="K21" i="1"/>
  <c r="K22" i="1"/>
  <c r="K23" i="1"/>
  <c r="K24" i="1"/>
  <c r="K25" i="1"/>
  <c r="K5" i="1"/>
  <c r="K6" i="1"/>
  <c r="K7" i="1"/>
  <c r="K8" i="1"/>
  <c r="K9" i="1"/>
  <c r="K10" i="1"/>
  <c r="K11" i="1"/>
  <c r="K12" i="1"/>
  <c r="K13" i="1"/>
  <c r="K14" i="1"/>
  <c r="K3" i="1"/>
  <c r="K4" i="1"/>
  <c r="K2" i="1"/>
  <c r="O17" i="1" l="1"/>
  <c r="P17" i="1"/>
</calcChain>
</file>

<file path=xl/sharedStrings.xml><?xml version="1.0" encoding="utf-8"?>
<sst xmlns="http://schemas.openxmlformats.org/spreadsheetml/2006/main" count="210" uniqueCount="93">
  <si>
    <t>Владимирская область</t>
  </si>
  <si>
    <t>Воронежская область</t>
  </si>
  <si>
    <t>Ивановская область</t>
  </si>
  <si>
    <t>Калужская область</t>
  </si>
  <si>
    <t>Костромская область</t>
  </si>
  <si>
    <t>Курская область</t>
  </si>
  <si>
    <t>Липецкая область</t>
  </si>
  <si>
    <t>Московская область</t>
  </si>
  <si>
    <t>Рязанская область</t>
  </si>
  <si>
    <t>Тамбовская область</t>
  </si>
  <si>
    <t>Тверская область</t>
  </si>
  <si>
    <t>Тульская область</t>
  </si>
  <si>
    <t>Ярославская область</t>
  </si>
  <si>
    <t>Архангельская область</t>
  </si>
  <si>
    <t>Вологодская область</t>
  </si>
  <si>
    <t>Астраханская область</t>
  </si>
  <si>
    <t>Новгородская область</t>
  </si>
  <si>
    <t>Волгоградская область</t>
  </si>
  <si>
    <t>Ростовская область</t>
  </si>
  <si>
    <t>Мурманская область</t>
  </si>
  <si>
    <t>Ленинградская область</t>
  </si>
  <si>
    <t>Кировская область</t>
  </si>
  <si>
    <t>Нижегородская область</t>
  </si>
  <si>
    <t>Оренбургская область</t>
  </si>
  <si>
    <t>Самарская область</t>
  </si>
  <si>
    <t>Численность населения на 1 января 2014г. (тыс.человек)</t>
  </si>
  <si>
    <t>Средне-
годовая численность
занятых 
в экономике,
(тыс. человек)</t>
  </si>
  <si>
    <t>Наличие основных фондов 
организаций  
(млн. руб)</t>
  </si>
  <si>
    <t>Фондовооруженность(млн. руб)</t>
  </si>
  <si>
    <t>Средне
душевые денежные доходы 
(в месяц), руб.</t>
  </si>
  <si>
    <t>КОЭФФИЦИЕНТ РОЖДАЕМОСТИ, на 1000 человек населения</t>
  </si>
  <si>
    <t>Внешняя торговля со странами СНГ ЭКСПОРТ на душу населения  (млн.долл.США)</t>
  </si>
  <si>
    <t>Столбец 1</t>
  </si>
  <si>
    <t>Столбец 2</t>
  </si>
  <si>
    <t>Столбец 3</t>
  </si>
  <si>
    <t>Столбец 4</t>
  </si>
  <si>
    <t>Столбец 5</t>
  </si>
  <si>
    <t>Столбец 6</t>
  </si>
  <si>
    <t>Столбец 7</t>
  </si>
  <si>
    <t>Столбец 8</t>
  </si>
  <si>
    <t>ВЫВОД ИТОГОВ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</si>
  <si>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</si>
  <si>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</si>
  <si>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</si>
  <si>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</si>
  <si>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</si>
  <si>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</si>
  <si>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</si>
  <si>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</si>
  <si>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</si>
  <si>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Итого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</si>
  <si>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</si>
  <si>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</si>
  <si>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</si>
  <si>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</si>
  <si>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</si>
  <si>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</si>
  <si>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</si>
  <si>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</si>
  <si>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</si>
  <si>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</si>
  <si>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</si>
  <si>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</si>
  <si>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</si>
  <si>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</si>
  <si>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Переменная X 2</t>
  </si>
  <si>
    <t>Переменная X 3</t>
  </si>
  <si>
    <t>Переменная X 4</t>
  </si>
  <si>
    <t>Переменная X 5</t>
  </si>
  <si>
    <t>Переменная X 6</t>
  </si>
  <si>
    <t>Переменная X 7</t>
  </si>
  <si>
    <t>Размер ВРП на душу населения,  (руб)</t>
  </si>
  <si>
    <t>Индекс физического объема ВРП ,(в процентах)</t>
  </si>
  <si>
    <t>Удельный вес городского населения
в общей численности населения , (в процентах)</t>
  </si>
  <si>
    <t>Импорт на душу населения(млн дол США)</t>
  </si>
  <si>
    <t xml:space="preserve">Индекс промышленного производства 
 (в % к предыдущему году) </t>
  </si>
  <si>
    <t>Столбец 9</t>
  </si>
  <si>
    <t>Столбец 10</t>
  </si>
  <si>
    <t>Объем отгруженных товаров собственного производства(добыча полезных ископаемых) в процентах</t>
  </si>
  <si>
    <t>Оборот оптовой торговли, в процентвх</t>
  </si>
  <si>
    <t>Столбец 11</t>
  </si>
  <si>
    <t>Степень износа основных фондов( в процентах)</t>
  </si>
  <si>
    <t>Сальдо внешней торговли</t>
  </si>
  <si>
    <t>Коэффициент покрытия импорта экспортом</t>
  </si>
  <si>
    <t>Столбец 12</t>
  </si>
  <si>
    <t>Столбец 13</t>
  </si>
  <si>
    <t>Столбец 14</t>
  </si>
  <si>
    <t>Переменная X 8</t>
  </si>
  <si>
    <t>Переменная X 9</t>
  </si>
  <si>
    <t>Переменная X 10</t>
  </si>
  <si>
    <t>Переменная X 11</t>
  </si>
  <si>
    <t>Переменная X 12</t>
  </si>
  <si>
    <t>Переменная X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</si>
</sst>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indexed="8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6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0" fontId="0" fillId="0" borderId="1" xfId="0" applyFont="1" applyBorder="1"/>
    <xf numFmtId="0" fontId="0" fillId="0" borderId="1" xfId="0" applyFont="1" applyBorder="1"/>
    <xf numFmtId="0" fontId="0" fillId="0" borderId="1" xfId="0" applyBorder="1"/>
    <xf numFmtId="0" fontId="0" fillId="0" borderId="1" xfId="0" applyFont="1" applyBorder="1"/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3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0" fontId="0" fillId="0" borderId="1" xfId="0" applyFont="1" applyFill="1" applyBorder="1"/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0" fontId="0" fillId="0" borderId="0" xfId="0" applyFill="1" applyBorder="1" applyAlignment="1"/>
    <xf numFmtId="0" fontId="3" fillId="0" borderId="3" xfId="0" applyFont="1" applyFill="1" applyBorder="1" applyAlignment="1">
      <alignment horizontal="centerContinuous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0" fillId="0" borderId="4" xfId="0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ont="1" applyFill="1" applyBorder="1"/>
    <xf numFmtId="164" fontId="1" fillId="0" borderId="0" xfId="0" applyNumberFormat="1" applyFont="1" applyFill="1" applyBorder="1"/>
    <xf numFmtId="3" fontId="0" fillId="0" borderId="0" xfId="0" applyNumberFormat="1" applyFont="1" applyBorder="1"/>
    <xf numFmtId="0" fontId="0" fillId="3" borderId="0" xfId="0" applyFill="1" applyBorder="1"/>
    <xf numFmtId="165" fontId="5" fillId="0" borderId="0" xfId="1" applyNumberFormat="1" applyFont="1" applyFill="1" applyBorder="1" applyAlignment="1">
      <alignment horizontal="right" vertical="top"/>
    </xf>
    <xf numFmtId="0" fontId="0" fillId="0" borderId="0" xfId="0" applyAlignment="1"/>
    <xf numFmtId="2" fontId="5" fillId="0" borderId="1" xfId="1" applyNumberFormat="1" applyFont="1" applyFill="1" applyBorder="1" applyAlignment="1">
      <alignment horizontal="right" vertical="top"/>
    </xf>
    <xf numFmtId="2" fontId="1" fillId="0" borderId="1" xfId="0" applyNumberFormat="1" applyFont="1" applyBorder="1"/>
    <xf numFmtId="2" fontId="0" fillId="0" borderId="1" xfId="0" applyNumberFormat="1" applyBorder="1"/>
    <xf numFmtId="2" fontId="0" fillId="0" borderId="1" xfId="0" applyNumberFormat="1" applyFill="1" applyBorder="1"/>
    <xf numFmtId="2" fontId="1" fillId="0" borderId="1" xfId="0" applyNumberFormat="1" applyFont="1" applyFill="1" applyBorder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Обычный" xfId="0" builtinId="0"/>
    <cellStyle name="Обычный_osnov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activeCell="B15" sqref="B15"/>
    </sheetView>
  </sheetViews>
  <sheetFormatPr defaultRowHeight="15" x14ac:dyDescent="0.25"/>
  <cols>
    <col min="1" max="1" width="11.140625" bestFit="1" customWidth="1"/>
    <col min="2" max="6" width="12.7109375" bestFit="1" customWidth="1"/>
  </cols>
  <sheetData>
    <row r="1" spans="1:15" x14ac:dyDescent="0.25">
      <c r="A1" s="19"/>
      <c r="B1" s="19" t="s">
        <v>32</v>
      </c>
      <c r="C1" s="19" t="s">
        <v>33</v>
      </c>
      <c r="D1" s="19" t="s">
        <v>34</v>
      </c>
      <c r="E1" s="19" t="s">
        <v>35</v>
      </c>
      <c r="F1" s="19" t="s">
        <v>36</v>
      </c>
      <c r="G1" s="19" t="s">
        <v>37</v>
      </c>
      <c r="H1" s="19" t="s">
        <v>38</v>
      </c>
      <c r="I1" s="19" t="s">
        <v>39</v>
      </c>
      <c r="J1" s="19" t="s">
        <v>76</v>
      </c>
      <c r="K1" s="19" t="s">
        <v>77</v>
      </c>
      <c r="L1" s="19" t="s">
        <v>80</v>
      </c>
      <c r="M1" s="19" t="s">
        <v>84</v>
      </c>
      <c r="N1" s="19" t="s">
        <v>85</v>
      </c>
      <c r="O1" s="19" t="s">
        <v>86</v>
      </c>
    </row>
    <row r="2" spans="1:15" x14ac:dyDescent="0.25">
      <c r="A2" s="20" t="s">
        <v>32</v>
      </c>
      <c r="B2" s="20">
        <v>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x14ac:dyDescent="0.25">
      <c r="A3" s="20" t="s">
        <v>33</v>
      </c>
      <c r="B3" s="20">
        <v>0.1256482128380004</v>
      </c>
      <c r="C3" s="20">
        <v>1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x14ac:dyDescent="0.25">
      <c r="A4" s="20" t="s">
        <v>34</v>
      </c>
      <c r="B4" s="20">
        <v>0.33519645397464426</v>
      </c>
      <c r="C4" s="20">
        <v>9.2063679778509988E-2</v>
      </c>
      <c r="D4" s="20">
        <v>1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</row>
    <row r="5" spans="1:15" x14ac:dyDescent="0.25">
      <c r="A5" s="20" t="s">
        <v>35</v>
      </c>
      <c r="B5" s="20">
        <v>5.2747372481275243E-2</v>
      </c>
      <c r="C5" s="20">
        <v>-1.0864832018878577E-2</v>
      </c>
      <c r="D5" s="20">
        <v>3.4564529354988917E-2</v>
      </c>
      <c r="E5" s="20">
        <v>1</v>
      </c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1:15" x14ac:dyDescent="0.25">
      <c r="A6" s="20" t="s">
        <v>36</v>
      </c>
      <c r="B6" s="20">
        <v>-0.28285001199986792</v>
      </c>
      <c r="C6" s="20">
        <v>0.13949843781648122</v>
      </c>
      <c r="D6" s="20">
        <v>-7.8577215274593062E-2</v>
      </c>
      <c r="E6" s="20">
        <v>-0.13143652554646071</v>
      </c>
      <c r="F6" s="20">
        <v>1</v>
      </c>
      <c r="G6" s="20"/>
      <c r="H6" s="20"/>
      <c r="I6" s="20"/>
      <c r="J6" s="20"/>
      <c r="K6" s="20"/>
      <c r="L6" s="20"/>
      <c r="M6" s="20"/>
      <c r="N6" s="20"/>
      <c r="O6" s="20"/>
    </row>
    <row r="7" spans="1:15" x14ac:dyDescent="0.25">
      <c r="A7" s="20" t="s">
        <v>37</v>
      </c>
      <c r="B7" s="20">
        <v>0.26569671068581446</v>
      </c>
      <c r="C7" s="20">
        <v>2.4834288115357987E-2</v>
      </c>
      <c r="D7" s="20">
        <v>2.1714563901361884E-2</v>
      </c>
      <c r="E7" s="20">
        <v>-8.343568287433932E-2</v>
      </c>
      <c r="F7" s="20">
        <v>0.10771495426578732</v>
      </c>
      <c r="G7" s="20">
        <v>1</v>
      </c>
      <c r="H7" s="20"/>
      <c r="I7" s="20"/>
      <c r="J7" s="20"/>
      <c r="K7" s="20"/>
      <c r="L7" s="20"/>
      <c r="M7" s="20"/>
      <c r="N7" s="20"/>
      <c r="O7" s="20"/>
    </row>
    <row r="8" spans="1:15" x14ac:dyDescent="0.25">
      <c r="A8" s="20" t="s">
        <v>38</v>
      </c>
      <c r="B8" s="20">
        <v>-0.17078809863978797</v>
      </c>
      <c r="C8" s="20">
        <v>-2.7200744169256053E-2</v>
      </c>
      <c r="D8" s="20">
        <v>-0.20959897528249771</v>
      </c>
      <c r="E8" s="20">
        <v>4.6823342573983281E-2</v>
      </c>
      <c r="F8" s="20">
        <v>0.33561547169033523</v>
      </c>
      <c r="G8" s="20">
        <v>0.13946651622113043</v>
      </c>
      <c r="H8" s="20">
        <v>1</v>
      </c>
      <c r="I8" s="20"/>
      <c r="J8" s="20"/>
      <c r="K8" s="20"/>
      <c r="L8" s="20"/>
      <c r="M8" s="20"/>
      <c r="N8" s="20"/>
      <c r="O8" s="20"/>
    </row>
    <row r="9" spans="1:15" x14ac:dyDescent="0.25">
      <c r="A9" s="20" t="s">
        <v>39</v>
      </c>
      <c r="B9" s="20">
        <v>0.30044229041552678</v>
      </c>
      <c r="C9" s="20">
        <v>0.68295322278678483</v>
      </c>
      <c r="D9" s="20">
        <v>9.2754158832028644E-2</v>
      </c>
      <c r="E9" s="20">
        <v>0.12630430867942219</v>
      </c>
      <c r="F9" s="20">
        <v>-4.2546371040253508E-2</v>
      </c>
      <c r="G9" s="20">
        <v>-0.1237245058049527</v>
      </c>
      <c r="H9" s="20">
        <v>-0.33103448562152626</v>
      </c>
      <c r="I9" s="20">
        <v>1</v>
      </c>
      <c r="J9" s="20"/>
      <c r="K9" s="20"/>
      <c r="L9" s="20"/>
      <c r="M9" s="20"/>
      <c r="N9" s="20"/>
      <c r="O9" s="20"/>
    </row>
    <row r="10" spans="1:15" x14ac:dyDescent="0.25">
      <c r="A10" s="20" t="s">
        <v>76</v>
      </c>
      <c r="B10" s="20">
        <v>0.22860352111903093</v>
      </c>
      <c r="C10" s="20">
        <v>0.58372206294655349</v>
      </c>
      <c r="D10" s="20">
        <v>9.6939303955067085E-2</v>
      </c>
      <c r="E10" s="20">
        <v>0.11353818790585322</v>
      </c>
      <c r="F10" s="20">
        <v>0.14767347175154233</v>
      </c>
      <c r="G10" s="20">
        <v>0.18436091512543454</v>
      </c>
      <c r="H10" s="20">
        <v>-0.16160257322712537</v>
      </c>
      <c r="I10" s="20">
        <v>0.5133926041435215</v>
      </c>
      <c r="J10" s="20">
        <v>1</v>
      </c>
      <c r="K10" s="20"/>
      <c r="L10" s="20"/>
      <c r="M10" s="20"/>
      <c r="N10" s="20"/>
      <c r="O10" s="20"/>
    </row>
    <row r="11" spans="1:15" x14ac:dyDescent="0.25">
      <c r="A11" s="20" t="s">
        <v>77</v>
      </c>
      <c r="B11" s="20">
        <v>0.58770420407166812</v>
      </c>
      <c r="C11" s="20">
        <v>1.5371113512949282E-2</v>
      </c>
      <c r="D11" s="20">
        <v>0.50959636694320154</v>
      </c>
      <c r="E11" s="20">
        <v>-3.1659955737879081E-2</v>
      </c>
      <c r="F11" s="20">
        <v>-0.34657124746926971</v>
      </c>
      <c r="G11" s="20">
        <v>0.18115497325640331</v>
      </c>
      <c r="H11" s="20">
        <v>-0.48491655034630649</v>
      </c>
      <c r="I11" s="20">
        <v>0.25232210752328293</v>
      </c>
      <c r="J11" s="20">
        <v>2.3414060342919943E-2</v>
      </c>
      <c r="K11" s="20">
        <v>1</v>
      </c>
      <c r="L11" s="20"/>
      <c r="M11" s="20"/>
      <c r="N11" s="20"/>
      <c r="O11" s="20"/>
    </row>
    <row r="12" spans="1:15" x14ac:dyDescent="0.25">
      <c r="A12" s="20" t="s">
        <v>80</v>
      </c>
      <c r="B12" s="20">
        <v>-0.20382490652065144</v>
      </c>
      <c r="C12" s="20">
        <v>-0.20713541989991266</v>
      </c>
      <c r="D12" s="20">
        <v>-0.15436764671597716</v>
      </c>
      <c r="E12" s="20">
        <v>0.29668744071703546</v>
      </c>
      <c r="F12" s="20">
        <v>-0.43178555235043709</v>
      </c>
      <c r="G12" s="20">
        <v>-5.0667202945449089E-2</v>
      </c>
      <c r="H12" s="20">
        <v>-0.23771810449715927</v>
      </c>
      <c r="I12" s="20">
        <v>3.7083159171475956E-2</v>
      </c>
      <c r="J12" s="20">
        <v>-0.32628045578053139</v>
      </c>
      <c r="K12" s="20">
        <v>0.10445720716921926</v>
      </c>
      <c r="L12" s="20">
        <v>1</v>
      </c>
      <c r="M12" s="20"/>
      <c r="N12" s="20"/>
      <c r="O12" s="20"/>
    </row>
    <row r="13" spans="1:15" x14ac:dyDescent="0.25">
      <c r="A13" s="20" t="s">
        <v>84</v>
      </c>
      <c r="B13" s="20">
        <v>0.25916123446240186</v>
      </c>
      <c r="C13" s="20">
        <v>-0.32013385422531077</v>
      </c>
      <c r="D13" s="20">
        <v>0.31770123977332476</v>
      </c>
      <c r="E13" s="20">
        <v>-1.2618908975119183E-2</v>
      </c>
      <c r="F13" s="20">
        <v>-0.39951140458058276</v>
      </c>
      <c r="G13" s="20">
        <v>-2.5961161375195187E-2</v>
      </c>
      <c r="H13" s="20">
        <v>-0.11436762888587773</v>
      </c>
      <c r="I13" s="20">
        <v>-0.40536280069481984</v>
      </c>
      <c r="J13" s="20">
        <v>-0.2911346197006261</v>
      </c>
      <c r="K13" s="20">
        <v>0.42774776353574051</v>
      </c>
      <c r="L13" s="20">
        <v>0.10813442692384571</v>
      </c>
      <c r="M13" s="20">
        <v>1</v>
      </c>
      <c r="N13" s="20"/>
      <c r="O13" s="20"/>
    </row>
    <row r="14" spans="1:15" x14ac:dyDescent="0.25">
      <c r="A14" s="20" t="s">
        <v>85</v>
      </c>
      <c r="B14" s="20">
        <v>0.8698202171347087</v>
      </c>
      <c r="C14" s="20">
        <v>0.11366694665870365</v>
      </c>
      <c r="D14" s="20">
        <v>0.32602587933223626</v>
      </c>
      <c r="E14" s="20">
        <v>9.5752312984256654E-2</v>
      </c>
      <c r="F14" s="20">
        <v>-0.33961341667328465</v>
      </c>
      <c r="G14" s="20">
        <v>-0.24452712719772107</v>
      </c>
      <c r="H14" s="20">
        <v>-0.24315149593177279</v>
      </c>
      <c r="I14" s="20">
        <v>0.36550072633632003</v>
      </c>
      <c r="J14" s="20">
        <v>0.13557890988171972</v>
      </c>
      <c r="K14" s="20">
        <v>0.49840092044703488</v>
      </c>
      <c r="L14" s="20">
        <v>-0.1790762617144748</v>
      </c>
      <c r="M14" s="20">
        <v>0.27394879489694535</v>
      </c>
      <c r="N14" s="20">
        <v>1</v>
      </c>
      <c r="O14" s="20"/>
    </row>
    <row r="15" spans="1:15" ht="15.75" thickBot="1" x14ac:dyDescent="0.3">
      <c r="A15" s="18" t="s">
        <v>86</v>
      </c>
      <c r="B15" s="18">
        <v>0.40862483682023037</v>
      </c>
      <c r="C15" s="18">
        <v>0.13114833327900766</v>
      </c>
      <c r="D15" s="18">
        <v>0.30747007285023942</v>
      </c>
      <c r="E15" s="18">
        <v>-9.4994982972123027E-2</v>
      </c>
      <c r="F15" s="18">
        <v>-0.35284820555684104</v>
      </c>
      <c r="G15" s="18">
        <v>-0.62936717931091346</v>
      </c>
      <c r="H15" s="18">
        <v>-0.31264934885207757</v>
      </c>
      <c r="I15" s="18">
        <v>0.30426977713531544</v>
      </c>
      <c r="J15" s="18">
        <v>4.3952235942432668E-3</v>
      </c>
      <c r="K15" s="18">
        <v>0.16728043719704344</v>
      </c>
      <c r="L15" s="18">
        <v>-0.10887627100640182</v>
      </c>
      <c r="M15" s="18">
        <v>0.17998657874721677</v>
      </c>
      <c r="N15" s="18">
        <v>0.73307944790410107</v>
      </c>
      <c r="O15" s="1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opLeftCell="A8" workbookViewId="0">
      <selection sqref="A1:I33"/>
    </sheetView>
  </sheetViews>
  <sheetFormatPr defaultRowHeight="15" x14ac:dyDescent="0.25"/>
  <cols>
    <col min="1" max="1" width="26.28515625" bestFit="1" customWidth="1"/>
    <col min="2" max="2" width="16.85546875" bestFit="1" customWidth="1"/>
    <col min="3" max="3" width="23.28515625" bestFit="1" customWidth="1"/>
    <col min="4" max="4" width="15.5703125" bestFit="1" customWidth="1"/>
  </cols>
  <sheetData>
    <row r="1" spans="1:9" x14ac:dyDescent="0.25">
      <c r="A1" t="s">
        <v>40</v>
      </c>
    </row>
    <row r="2" spans="1:9" ht="15.75" thickBot="1" x14ac:dyDescent="0.3"/>
    <row r="3" spans="1:9" x14ac:dyDescent="0.25">
      <c r="A3" s="21" t="s">
        <v>41</v>
      </c>
      <c r="B3" s="21"/>
    </row>
    <row r="4" spans="1:9" x14ac:dyDescent="0.25">
      <c r="A4" s="20" t="s">
        <v>42</v>
      </c>
      <c r="B4" s="20">
        <v>1</v>
      </c>
    </row>
    <row r="5" spans="1:9" x14ac:dyDescent="0.25">
      <c r="A5" s="20" t="s">
        <v>43</v>
      </c>
      <c r="B5" s="20">
        <v>1</v>
      </c>
    </row>
    <row r="6" spans="1:9" x14ac:dyDescent="0.25">
      <c r="A6" s="20" t="s">
        <v>44</v>
      </c>
      <c r="B6" s="20">
        <v>1</v>
      </c>
    </row>
    <row r="7" spans="1:9" x14ac:dyDescent="0.25">
      <c r="A7" s="20" t="s">
        <v>45</v>
      </c>
      <c r="B7" s="20">
        <v>3.7977083899839406E-17</v>
      </c>
    </row>
    <row r="8" spans="1:9" ht="15.75" thickBot="1" x14ac:dyDescent="0.3">
      <c r="A8" s="18" t="s">
        <v>46</v>
      </c>
      <c r="B8" s="18">
        <v>25</v>
      </c>
    </row>
    <row r="10" spans="1:9" ht="15.75" thickBot="1" x14ac:dyDescent="0.3">
      <c r="A10" t="s">
        <v>47</v>
      </c>
    </row>
    <row r="11" spans="1:9" x14ac:dyDescent="0.25">
      <c r="A11" s="19"/>
      <c r="B11" s="19" t="s">
        <v>52</v>
      </c>
      <c r="C11" s="19" t="s">
        <v>53</v>
      </c>
      <c r="D11" s="19" t="s">
        <v>54</v>
      </c>
      <c r="E11" s="19" t="s">
        <v>55</v>
      </c>
      <c r="F11" s="19" t="s">
        <v>56</v>
      </c>
    </row>
    <row r="12" spans="1:9" x14ac:dyDescent="0.25">
      <c r="A12" s="20" t="s">
        <v>48</v>
      </c>
      <c r="B12" s="20">
        <v>13</v>
      </c>
      <c r="C12" s="20">
        <v>1.2742935424549096</v>
      </c>
      <c r="D12" s="20">
        <v>9.8022580188839192E-2</v>
      </c>
      <c r="E12" s="20">
        <v>6.796462138974043E+31</v>
      </c>
      <c r="F12" s="20">
        <v>1.6074303949773862E-173</v>
      </c>
    </row>
    <row r="13" spans="1:9" x14ac:dyDescent="0.25">
      <c r="A13" s="20" t="s">
        <v>49</v>
      </c>
      <c r="B13" s="20">
        <v>11</v>
      </c>
      <c r="C13" s="20">
        <v>1.5864847916889855E-32</v>
      </c>
      <c r="D13" s="20">
        <v>1.4422589015354413E-33</v>
      </c>
      <c r="E13" s="20"/>
      <c r="F13" s="20"/>
    </row>
    <row r="14" spans="1:9" ht="15.75" thickBot="1" x14ac:dyDescent="0.3">
      <c r="A14" s="18" t="s">
        <v>50</v>
      </c>
      <c r="B14" s="18">
        <v>24</v>
      </c>
      <c r="C14" s="18">
        <v>1.2742935424549096</v>
      </c>
      <c r="D14" s="18"/>
      <c r="E14" s="18"/>
      <c r="F14" s="18"/>
    </row>
    <row r="15" spans="1:9" ht="15.75" thickBot="1" x14ac:dyDescent="0.3"/>
    <row r="16" spans="1:9" x14ac:dyDescent="0.25">
      <c r="A16" s="19"/>
      <c r="B16" s="19" t="s">
        <v>57</v>
      </c>
      <c r="C16" s="19" t="s">
        <v>45</v>
      </c>
      <c r="D16" s="19" t="s">
        <v>58</v>
      </c>
      <c r="E16" s="19" t="s">
        <v>59</v>
      </c>
      <c r="F16" s="19" t="s">
        <v>60</v>
      </c>
      <c r="G16" s="19" t="s">
        <v>61</v>
      </c>
      <c r="H16" s="19" t="s">
        <v>62</v>
      </c>
      <c r="I16" s="19" t="s">
        <v>63</v>
      </c>
    </row>
    <row r="17" spans="1:9" x14ac:dyDescent="0.25">
      <c r="A17" s="20" t="s">
        <v>51</v>
      </c>
      <c r="B17" s="20">
        <v>-3.8553640671928665E-16</v>
      </c>
      <c r="C17" s="20">
        <v>4.4779900769229005E-16</v>
      </c>
      <c r="D17" s="20">
        <v>-0.86095859994449153</v>
      </c>
      <c r="E17" s="20">
        <v>0.4076358798235411</v>
      </c>
      <c r="F17" s="20">
        <v>-1.371135376740385E-15</v>
      </c>
      <c r="G17" s="20">
        <v>6.000625633018117E-16</v>
      </c>
      <c r="H17" s="20">
        <v>-1.371135376740385E-15</v>
      </c>
      <c r="I17" s="20">
        <v>6.000625633018117E-16</v>
      </c>
    </row>
    <row r="18" spans="1:9" x14ac:dyDescent="0.25">
      <c r="A18" s="20" t="s">
        <v>64</v>
      </c>
      <c r="B18" s="20">
        <v>4.6687923615353864E-21</v>
      </c>
      <c r="C18" s="20">
        <v>3.1457607197878134E-21</v>
      </c>
      <c r="D18" s="20">
        <v>1.4841536840889487</v>
      </c>
      <c r="E18" s="20">
        <v>0.16584821492447521</v>
      </c>
      <c r="F18" s="20">
        <v>-2.2549802956077299E-21</v>
      </c>
      <c r="G18" s="20">
        <v>1.1592565018678503E-20</v>
      </c>
      <c r="H18" s="20">
        <v>-2.2549802956077299E-21</v>
      </c>
      <c r="I18" s="20">
        <v>1.1592565018678503E-20</v>
      </c>
    </row>
    <row r="19" spans="1:9" x14ac:dyDescent="0.25">
      <c r="A19" s="20" t="s">
        <v>65</v>
      </c>
      <c r="B19" s="20">
        <v>1.847308974460356E-17</v>
      </c>
      <c r="C19" s="20">
        <v>7.9854528913041156E-18</v>
      </c>
      <c r="D19" s="20">
        <v>2.3133427741737882</v>
      </c>
      <c r="E19" s="20">
        <v>4.105636167971969E-2</v>
      </c>
      <c r="F19" s="20">
        <v>8.9722644517077928E-19</v>
      </c>
      <c r="G19" s="20">
        <v>3.6048953044036338E-17</v>
      </c>
      <c r="H19" s="20">
        <v>8.9722644517077928E-19</v>
      </c>
      <c r="I19" s="20">
        <v>3.6048953044036338E-17</v>
      </c>
    </row>
    <row r="20" spans="1:9" x14ac:dyDescent="0.25">
      <c r="A20" s="20" t="s">
        <v>66</v>
      </c>
      <c r="B20" s="20">
        <v>1.3868200865711516E-18</v>
      </c>
      <c r="C20" s="20">
        <v>3.0140044521706407E-18</v>
      </c>
      <c r="D20" s="20">
        <v>0.46012542734380651</v>
      </c>
      <c r="E20" s="20">
        <v>0.65438796342796168</v>
      </c>
      <c r="F20" s="20">
        <v>-5.246958980977985E-18</v>
      </c>
      <c r="G20" s="20">
        <v>8.0205991541202889E-18</v>
      </c>
      <c r="H20" s="20">
        <v>-5.246958980977985E-18</v>
      </c>
      <c r="I20" s="20">
        <v>8.0205991541202889E-18</v>
      </c>
    </row>
    <row r="21" spans="1:9" x14ac:dyDescent="0.25">
      <c r="A21" s="20" t="s">
        <v>67</v>
      </c>
      <c r="B21" s="20">
        <v>-5.8535527376518691E-19</v>
      </c>
      <c r="C21" s="20">
        <v>5.5075004662185412E-19</v>
      </c>
      <c r="D21" s="20">
        <v>-1.062832908241391</v>
      </c>
      <c r="E21" s="20">
        <v>0.31063412044105099</v>
      </c>
      <c r="F21" s="20">
        <v>-1.7975479525452506E-18</v>
      </c>
      <c r="G21" s="20">
        <v>6.2683740501487657E-19</v>
      </c>
      <c r="H21" s="20">
        <v>-1.7975479525452506E-18</v>
      </c>
      <c r="I21" s="20">
        <v>6.2683740501487657E-19</v>
      </c>
    </row>
    <row r="22" spans="1:9" x14ac:dyDescent="0.25">
      <c r="A22" s="20" t="s">
        <v>68</v>
      </c>
      <c r="B22" s="20">
        <v>0.99999999999999989</v>
      </c>
      <c r="C22" s="20">
        <v>1.1028575530780173E-16</v>
      </c>
      <c r="D22" s="20">
        <v>9067354140242796</v>
      </c>
      <c r="E22" s="20">
        <v>3.6877397323854915E-171</v>
      </c>
      <c r="F22" s="20">
        <v>0.99999999999999967</v>
      </c>
      <c r="G22" s="20">
        <v>1.0000000000000002</v>
      </c>
      <c r="H22" s="20">
        <v>0.99999999999999967</v>
      </c>
      <c r="I22" s="20">
        <v>1.0000000000000002</v>
      </c>
    </row>
    <row r="23" spans="1:9" x14ac:dyDescent="0.25">
      <c r="A23" s="20" t="s">
        <v>69</v>
      </c>
      <c r="B23" s="20">
        <v>0</v>
      </c>
      <c r="C23" s="20">
        <v>2.8880260330482587E-18</v>
      </c>
      <c r="D23" s="20">
        <v>0</v>
      </c>
      <c r="E23" s="20">
        <v>1</v>
      </c>
      <c r="F23" s="20">
        <v>-6.356502436741534E-18</v>
      </c>
      <c r="G23" s="20">
        <v>6.356502436741534E-18</v>
      </c>
      <c r="H23" s="20">
        <v>-6.356502436741534E-18</v>
      </c>
      <c r="I23" s="20">
        <v>6.356502436741534E-18</v>
      </c>
    </row>
    <row r="24" spans="1:9" x14ac:dyDescent="0.25">
      <c r="A24" s="20" t="s">
        <v>70</v>
      </c>
      <c r="B24" s="20">
        <v>4.9748867882174428E-22</v>
      </c>
      <c r="C24" s="20">
        <v>2.4797722719684654E-22</v>
      </c>
      <c r="D24" s="20">
        <v>2.0061869569451769</v>
      </c>
      <c r="E24" s="20">
        <v>7.0057127278062903E-2</v>
      </c>
      <c r="F24" s="20">
        <v>-4.8305517939509303E-23</v>
      </c>
      <c r="G24" s="20">
        <v>1.0432828755829979E-21</v>
      </c>
      <c r="H24" s="20">
        <v>-4.8305517939509303E-23</v>
      </c>
      <c r="I24" s="20">
        <v>1.0432828755829979E-21</v>
      </c>
    </row>
    <row r="25" spans="1:9" x14ac:dyDescent="0.25">
      <c r="A25" s="20" t="s">
        <v>87</v>
      </c>
      <c r="B25" s="20">
        <v>-1.6971874842153369E-19</v>
      </c>
      <c r="C25" s="20">
        <v>5.6750698366277466E-20</v>
      </c>
      <c r="D25" s="20">
        <v>-2.9906019363170402</v>
      </c>
      <c r="E25" s="20">
        <v>1.2284472496064243E-2</v>
      </c>
      <c r="F25" s="20">
        <v>-2.9462619327281027E-19</v>
      </c>
      <c r="G25" s="20">
        <v>-4.481130357025711E-20</v>
      </c>
      <c r="H25" s="20">
        <v>-2.9462619327281027E-19</v>
      </c>
      <c r="I25" s="20">
        <v>-4.481130357025711E-20</v>
      </c>
    </row>
    <row r="26" spans="1:9" x14ac:dyDescent="0.25">
      <c r="A26" s="20" t="s">
        <v>88</v>
      </c>
      <c r="B26" s="20">
        <v>2.0577541907677896E-17</v>
      </c>
      <c r="C26" s="20">
        <v>1.764855394296712E-17</v>
      </c>
      <c r="D26" s="20">
        <v>1.1659619238027128</v>
      </c>
      <c r="E26" s="20">
        <v>0.26828832511521739</v>
      </c>
      <c r="F26" s="20">
        <v>-1.8266663393694581E-17</v>
      </c>
      <c r="G26" s="20">
        <v>5.9421747209050367E-17</v>
      </c>
      <c r="H26" s="20">
        <v>-1.8266663393694581E-17</v>
      </c>
      <c r="I26" s="20">
        <v>5.9421747209050367E-17</v>
      </c>
    </row>
    <row r="27" spans="1:9" x14ac:dyDescent="0.25">
      <c r="A27" s="20" t="s">
        <v>89</v>
      </c>
      <c r="B27" s="20">
        <v>-1.8990615814773072E-18</v>
      </c>
      <c r="C27" s="20">
        <v>1.6504624688377629E-18</v>
      </c>
      <c r="D27" s="20">
        <v>-1.1506239113783696</v>
      </c>
      <c r="E27" s="20">
        <v>0.27428586001611366</v>
      </c>
      <c r="F27" s="20">
        <v>-5.5317049804166338E-18</v>
      </c>
      <c r="G27" s="20">
        <v>1.7335818174620193E-18</v>
      </c>
      <c r="H27" s="20">
        <v>-5.5317049804166338E-18</v>
      </c>
      <c r="I27" s="20">
        <v>1.7335818174620193E-18</v>
      </c>
    </row>
    <row r="28" spans="1:9" x14ac:dyDescent="0.25">
      <c r="A28" s="20" t="s">
        <v>90</v>
      </c>
      <c r="B28" s="20">
        <v>2.4107844488740096E-18</v>
      </c>
      <c r="C28" s="20">
        <v>2.1071373913354102E-18</v>
      </c>
      <c r="D28" s="20">
        <v>1.1441040621210568</v>
      </c>
      <c r="E28" s="20">
        <v>0.27686672443102911</v>
      </c>
      <c r="F28" s="20">
        <v>-2.2269936768430867E-18</v>
      </c>
      <c r="G28" s="20">
        <v>7.0485625745911052E-18</v>
      </c>
      <c r="H28" s="20">
        <v>-2.2269936768430867E-18</v>
      </c>
      <c r="I28" s="20">
        <v>7.0485625745911052E-18</v>
      </c>
    </row>
    <row r="29" spans="1:9" x14ac:dyDescent="0.25">
      <c r="A29" s="20" t="s">
        <v>91</v>
      </c>
      <c r="B29" s="20">
        <v>1.0000000000000002</v>
      </c>
      <c r="C29" s="20">
        <v>8.5146939193819133E-17</v>
      </c>
      <c r="D29" s="20">
        <v>1.1744403374544212E+16</v>
      </c>
      <c r="E29" s="20">
        <v>2.1424271894899938E-172</v>
      </c>
      <c r="F29" s="20">
        <v>1</v>
      </c>
      <c r="G29" s="20">
        <v>1.0000000000000004</v>
      </c>
      <c r="H29" s="20">
        <v>1</v>
      </c>
      <c r="I29" s="20">
        <v>1.0000000000000004</v>
      </c>
    </row>
    <row r="30" spans="1:9" ht="15.75" thickBot="1" x14ac:dyDescent="0.3">
      <c r="A30" s="18" t="s">
        <v>92</v>
      </c>
      <c r="B30" s="18">
        <v>-4.4309359641301862E-17</v>
      </c>
      <c r="C30" s="18">
        <v>1.5006747500845637E-17</v>
      </c>
      <c r="D30" s="18">
        <v>-2.9526291182553055</v>
      </c>
      <c r="E30" s="18">
        <v>1.3147436995772017E-2</v>
      </c>
      <c r="F30" s="18">
        <v>-7.7338988171349202E-17</v>
      </c>
      <c r="G30" s="18">
        <v>-1.1279731111254522E-17</v>
      </c>
      <c r="H30" s="18">
        <v>-7.7338988171349202E-17</v>
      </c>
      <c r="I30" s="18">
        <v>-1.1279731111254522E-17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sqref="A1:O15"/>
    </sheetView>
  </sheetViews>
  <sheetFormatPr defaultRowHeight="15" x14ac:dyDescent="0.25"/>
  <sheetData>
    <row r="1" spans="1:15" x14ac:dyDescent="0.25">
      <c r="A1" s="19"/>
      <c r="B1" s="19" t="s">
        <v>32</v>
      </c>
      <c r="C1" s="19" t="s">
        <v>33</v>
      </c>
      <c r="D1" s="19" t="s">
        <v>34</v>
      </c>
      <c r="E1" s="19" t="s">
        <v>35</v>
      </c>
      <c r="F1" s="19" t="s">
        <v>36</v>
      </c>
      <c r="G1" s="19" t="s">
        <v>37</v>
      </c>
      <c r="H1" s="19" t="s">
        <v>38</v>
      </c>
      <c r="I1" s="19" t="s">
        <v>39</v>
      </c>
      <c r="J1" s="19" t="s">
        <v>76</v>
      </c>
      <c r="K1" s="19" t="s">
        <v>77</v>
      </c>
      <c r="L1" s="19" t="s">
        <v>80</v>
      </c>
      <c r="M1" s="19" t="s">
        <v>84</v>
      </c>
      <c r="N1" s="19" t="s">
        <v>85</v>
      </c>
      <c r="O1" s="19" t="s">
        <v>86</v>
      </c>
    </row>
    <row r="2" spans="1:15" x14ac:dyDescent="0.25">
      <c r="A2" s="20" t="s">
        <v>32</v>
      </c>
      <c r="B2" s="20">
        <v>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x14ac:dyDescent="0.25">
      <c r="A3" s="20" t="s">
        <v>33</v>
      </c>
      <c r="B3" s="20">
        <v>0.1256482128380004</v>
      </c>
      <c r="C3" s="20">
        <v>1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x14ac:dyDescent="0.25">
      <c r="A4" s="20" t="s">
        <v>34</v>
      </c>
      <c r="B4" s="20">
        <v>0.33519645397464426</v>
      </c>
      <c r="C4" s="20">
        <v>9.2063679778509988E-2</v>
      </c>
      <c r="D4" s="20">
        <v>1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</row>
    <row r="5" spans="1:15" x14ac:dyDescent="0.25">
      <c r="A5" s="20" t="s">
        <v>35</v>
      </c>
      <c r="B5" s="20">
        <v>5.2747372481275243E-2</v>
      </c>
      <c r="C5" s="20">
        <v>-1.0864832018878577E-2</v>
      </c>
      <c r="D5" s="20">
        <v>3.4564529354988917E-2</v>
      </c>
      <c r="E5" s="20">
        <v>1</v>
      </c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1:15" x14ac:dyDescent="0.25">
      <c r="A6" s="20" t="s">
        <v>36</v>
      </c>
      <c r="B6" s="20">
        <v>-0.28285001199986792</v>
      </c>
      <c r="C6" s="20">
        <v>0.13949843781648122</v>
      </c>
      <c r="D6" s="20">
        <v>-7.8577215274593062E-2</v>
      </c>
      <c r="E6" s="20">
        <v>-0.13143652554646071</v>
      </c>
      <c r="F6" s="20">
        <v>1</v>
      </c>
      <c r="G6" s="20"/>
      <c r="H6" s="20"/>
      <c r="I6" s="20"/>
      <c r="J6" s="20"/>
      <c r="K6" s="20"/>
      <c r="L6" s="20"/>
      <c r="M6" s="20"/>
      <c r="N6" s="20"/>
      <c r="O6" s="20"/>
    </row>
    <row r="7" spans="1:15" x14ac:dyDescent="0.25">
      <c r="A7" s="20" t="s">
        <v>37</v>
      </c>
      <c r="B7" s="20">
        <v>0.26569671068581446</v>
      </c>
      <c r="C7" s="20">
        <v>2.4834288115357987E-2</v>
      </c>
      <c r="D7" s="20">
        <v>2.1714563901361884E-2</v>
      </c>
      <c r="E7" s="20">
        <v>-8.343568287433932E-2</v>
      </c>
      <c r="F7" s="20">
        <v>0.10771495426578732</v>
      </c>
      <c r="G7" s="20">
        <v>1</v>
      </c>
      <c r="H7" s="20"/>
      <c r="I7" s="20"/>
      <c r="J7" s="20"/>
      <c r="K7" s="20"/>
      <c r="L7" s="20"/>
      <c r="M7" s="20"/>
      <c r="N7" s="20"/>
      <c r="O7" s="20"/>
    </row>
    <row r="8" spans="1:15" x14ac:dyDescent="0.25">
      <c r="A8" s="20" t="s">
        <v>38</v>
      </c>
      <c r="B8" s="20">
        <v>-0.17078809863978797</v>
      </c>
      <c r="C8" s="20">
        <v>-2.7200744169256053E-2</v>
      </c>
      <c r="D8" s="20">
        <v>-0.20959897528249771</v>
      </c>
      <c r="E8" s="20">
        <v>4.6823342573983281E-2</v>
      </c>
      <c r="F8" s="20">
        <v>0.33561547169033523</v>
      </c>
      <c r="G8" s="20">
        <v>0.13946651622113043</v>
      </c>
      <c r="H8" s="20">
        <v>1</v>
      </c>
      <c r="I8" s="20"/>
      <c r="J8" s="20"/>
      <c r="K8" s="20"/>
      <c r="L8" s="20"/>
      <c r="M8" s="20"/>
      <c r="N8" s="20"/>
      <c r="O8" s="20"/>
    </row>
    <row r="9" spans="1:15" x14ac:dyDescent="0.25">
      <c r="A9" s="20" t="s">
        <v>39</v>
      </c>
      <c r="B9" s="20">
        <v>0.30044229041552678</v>
      </c>
      <c r="C9" s="20">
        <v>0.68295322278678483</v>
      </c>
      <c r="D9" s="20">
        <v>9.2754158832028644E-2</v>
      </c>
      <c r="E9" s="20">
        <v>0.12630430867942219</v>
      </c>
      <c r="F9" s="20">
        <v>-4.2546371040253508E-2</v>
      </c>
      <c r="G9" s="20">
        <v>-0.1237245058049527</v>
      </c>
      <c r="H9" s="20">
        <v>-0.33103448562152626</v>
      </c>
      <c r="I9" s="20">
        <v>1</v>
      </c>
      <c r="J9" s="20"/>
      <c r="K9" s="20"/>
      <c r="L9" s="20"/>
      <c r="M9" s="20"/>
      <c r="N9" s="20"/>
      <c r="O9" s="20"/>
    </row>
    <row r="10" spans="1:15" x14ac:dyDescent="0.25">
      <c r="A10" s="20" t="s">
        <v>76</v>
      </c>
      <c r="B10" s="20">
        <v>0.22860352111903093</v>
      </c>
      <c r="C10" s="20">
        <v>0.58372206294655349</v>
      </c>
      <c r="D10" s="20">
        <v>9.6939303955067085E-2</v>
      </c>
      <c r="E10" s="20">
        <v>0.11353818790585322</v>
      </c>
      <c r="F10" s="20">
        <v>0.14767347175154233</v>
      </c>
      <c r="G10" s="20">
        <v>0.18436091512543454</v>
      </c>
      <c r="H10" s="20">
        <v>-0.16160257322712537</v>
      </c>
      <c r="I10" s="20">
        <v>0.5133926041435215</v>
      </c>
      <c r="J10" s="20">
        <v>1</v>
      </c>
      <c r="K10" s="20"/>
      <c r="L10" s="20"/>
      <c r="M10" s="20"/>
      <c r="N10" s="20"/>
      <c r="O10" s="20"/>
    </row>
    <row r="11" spans="1:15" x14ac:dyDescent="0.25">
      <c r="A11" s="20" t="s">
        <v>77</v>
      </c>
      <c r="B11" s="20">
        <v>0.58770420407166812</v>
      </c>
      <c r="C11" s="20">
        <v>1.5371113512949282E-2</v>
      </c>
      <c r="D11" s="20">
        <v>0.50959636694320154</v>
      </c>
      <c r="E11" s="20">
        <v>-3.1659955737879081E-2</v>
      </c>
      <c r="F11" s="20">
        <v>-0.34657124746926971</v>
      </c>
      <c r="G11" s="20">
        <v>0.18115497325640331</v>
      </c>
      <c r="H11" s="20">
        <v>-0.48491655034630649</v>
      </c>
      <c r="I11" s="20">
        <v>0.25232210752328293</v>
      </c>
      <c r="J11" s="20">
        <v>2.3414060342919943E-2</v>
      </c>
      <c r="K11" s="20">
        <v>1</v>
      </c>
      <c r="L11" s="20"/>
      <c r="M11" s="20"/>
      <c r="N11" s="20"/>
      <c r="O11" s="20"/>
    </row>
    <row r="12" spans="1:15" x14ac:dyDescent="0.25">
      <c r="A12" s="20" t="s">
        <v>80</v>
      </c>
      <c r="B12" s="20">
        <v>-0.20382490652065144</v>
      </c>
      <c r="C12" s="20">
        <v>-0.20713541989991266</v>
      </c>
      <c r="D12" s="20">
        <v>-0.15436764671597716</v>
      </c>
      <c r="E12" s="20">
        <v>0.29668744071703546</v>
      </c>
      <c r="F12" s="20">
        <v>-0.43178555235043709</v>
      </c>
      <c r="G12" s="20">
        <v>-5.0667202945449089E-2</v>
      </c>
      <c r="H12" s="20">
        <v>-0.23771810449715927</v>
      </c>
      <c r="I12" s="20">
        <v>3.7083159171475956E-2</v>
      </c>
      <c r="J12" s="20">
        <v>-0.32628045578053139</v>
      </c>
      <c r="K12" s="20">
        <v>0.10445720716921926</v>
      </c>
      <c r="L12" s="20">
        <v>1</v>
      </c>
      <c r="M12" s="20"/>
      <c r="N12" s="20"/>
      <c r="O12" s="20"/>
    </row>
    <row r="13" spans="1:15" x14ac:dyDescent="0.25">
      <c r="A13" s="20" t="s">
        <v>84</v>
      </c>
      <c r="B13" s="20">
        <v>0.25916123446240186</v>
      </c>
      <c r="C13" s="20">
        <v>-0.32013385422531077</v>
      </c>
      <c r="D13" s="20">
        <v>0.31770123977332476</v>
      </c>
      <c r="E13" s="20">
        <v>-1.2618908975119183E-2</v>
      </c>
      <c r="F13" s="20">
        <v>-0.39951140458058276</v>
      </c>
      <c r="G13" s="20">
        <v>-2.5961161375195187E-2</v>
      </c>
      <c r="H13" s="20">
        <v>-0.11436762888587773</v>
      </c>
      <c r="I13" s="20">
        <v>-0.40536280069481984</v>
      </c>
      <c r="J13" s="20">
        <v>-0.2911346197006261</v>
      </c>
      <c r="K13" s="20">
        <v>0.42774776353574051</v>
      </c>
      <c r="L13" s="20">
        <v>0.10813442692384571</v>
      </c>
      <c r="M13" s="20">
        <v>1</v>
      </c>
      <c r="N13" s="20"/>
      <c r="O13" s="20"/>
    </row>
    <row r="14" spans="1:15" x14ac:dyDescent="0.25">
      <c r="A14" s="20" t="s">
        <v>85</v>
      </c>
      <c r="B14" s="20">
        <v>0.8698202171347087</v>
      </c>
      <c r="C14" s="20">
        <v>0.11366694665870365</v>
      </c>
      <c r="D14" s="20">
        <v>0.32602587933223626</v>
      </c>
      <c r="E14" s="20">
        <v>9.5752312984256654E-2</v>
      </c>
      <c r="F14" s="20">
        <v>-0.33961341667328465</v>
      </c>
      <c r="G14" s="20">
        <v>-0.24452712719772107</v>
      </c>
      <c r="H14" s="20">
        <v>-0.24315149593177279</v>
      </c>
      <c r="I14" s="20">
        <v>0.36550072633632003</v>
      </c>
      <c r="J14" s="20">
        <v>0.13557890988171972</v>
      </c>
      <c r="K14" s="20">
        <v>0.49840092044703488</v>
      </c>
      <c r="L14" s="20">
        <v>-0.1790762617144748</v>
      </c>
      <c r="M14" s="20">
        <v>0.27394879489694535</v>
      </c>
      <c r="N14" s="20">
        <v>1</v>
      </c>
      <c r="O14" s="20"/>
    </row>
    <row r="15" spans="1:15" ht="15.75" thickBot="1" x14ac:dyDescent="0.3">
      <c r="A15" s="18" t="s">
        <v>86</v>
      </c>
      <c r="B15" s="18">
        <v>0.40862483682023037</v>
      </c>
      <c r="C15" s="18">
        <v>0.13114833327900766</v>
      </c>
      <c r="D15" s="18">
        <v>0.30747007285023942</v>
      </c>
      <c r="E15" s="18">
        <v>-9.4994982972123027E-2</v>
      </c>
      <c r="F15" s="18">
        <v>-0.35284820555684104</v>
      </c>
      <c r="G15" s="18">
        <v>-0.62936717931091346</v>
      </c>
      <c r="H15" s="18">
        <v>-0.31264934885207757</v>
      </c>
      <c r="I15" s="18">
        <v>0.30426977713531544</v>
      </c>
      <c r="J15" s="18">
        <v>4.3952235942432668E-3</v>
      </c>
      <c r="K15" s="18">
        <v>0.16728043719704344</v>
      </c>
      <c r="L15" s="18">
        <v>-0.10887627100640182</v>
      </c>
      <c r="M15" s="18">
        <v>0.17998657874721677</v>
      </c>
      <c r="N15" s="18">
        <v>0.73307944790410107</v>
      </c>
      <c r="O15" s="18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sqref="A1:I33"/>
    </sheetView>
  </sheetViews>
  <sheetFormatPr defaultRowHeight="15" x14ac:dyDescent="0.25"/>
  <sheetData>
    <row r="1" spans="1:9" x14ac:dyDescent="0.25">
      <c r="A1" t="s">
        <v>40</v>
      </c>
    </row>
    <row r="2" spans="1:9" ht="15.75" thickBot="1" x14ac:dyDescent="0.3"/>
    <row r="3" spans="1:9" x14ac:dyDescent="0.25">
      <c r="A3" s="21" t="s">
        <v>41</v>
      </c>
      <c r="B3" s="21"/>
    </row>
    <row r="4" spans="1:9" x14ac:dyDescent="0.25">
      <c r="A4" s="20" t="s">
        <v>42</v>
      </c>
      <c r="B4" s="20">
        <v>1</v>
      </c>
    </row>
    <row r="5" spans="1:9" x14ac:dyDescent="0.25">
      <c r="A5" s="20" t="s">
        <v>43</v>
      </c>
      <c r="B5" s="20">
        <v>1</v>
      </c>
    </row>
    <row r="6" spans="1:9" x14ac:dyDescent="0.25">
      <c r="A6" s="20" t="s">
        <v>44</v>
      </c>
      <c r="B6" s="20">
        <v>1</v>
      </c>
    </row>
    <row r="7" spans="1:9" x14ac:dyDescent="0.25">
      <c r="A7" s="20" t="s">
        <v>45</v>
      </c>
      <c r="B7" s="20">
        <v>9.1512362131856255E-17</v>
      </c>
    </row>
    <row r="8" spans="1:9" ht="15.75" thickBot="1" x14ac:dyDescent="0.3">
      <c r="A8" s="18" t="s">
        <v>46</v>
      </c>
      <c r="B8" s="18">
        <v>25</v>
      </c>
    </row>
    <row r="10" spans="1:9" ht="15.75" thickBot="1" x14ac:dyDescent="0.3">
      <c r="A10" t="s">
        <v>47</v>
      </c>
    </row>
    <row r="11" spans="1:9" x14ac:dyDescent="0.25">
      <c r="A11" s="19"/>
      <c r="B11" s="19" t="s">
        <v>52</v>
      </c>
      <c r="C11" s="19" t="s">
        <v>53</v>
      </c>
      <c r="D11" s="19" t="s">
        <v>54</v>
      </c>
      <c r="E11" s="19" t="s">
        <v>55</v>
      </c>
      <c r="F11" s="19" t="s">
        <v>56</v>
      </c>
    </row>
    <row r="12" spans="1:9" x14ac:dyDescent="0.25">
      <c r="A12" s="20" t="s">
        <v>48</v>
      </c>
      <c r="B12" s="20">
        <v>13</v>
      </c>
      <c r="C12" s="20">
        <v>1.2742935424549096</v>
      </c>
      <c r="D12" s="20">
        <v>9.8022580188839192E-2</v>
      </c>
      <c r="E12" s="20">
        <v>1.1704870115206831E+31</v>
      </c>
      <c r="F12" s="20">
        <v>2.556653325510037E-169</v>
      </c>
    </row>
    <row r="13" spans="1:9" x14ac:dyDescent="0.25">
      <c r="A13" s="20" t="s">
        <v>49</v>
      </c>
      <c r="B13" s="20">
        <v>11</v>
      </c>
      <c r="C13" s="20">
        <v>9.2119636652471975E-32</v>
      </c>
      <c r="D13" s="20">
        <v>8.374512422951998E-33</v>
      </c>
      <c r="E13" s="20"/>
      <c r="F13" s="20"/>
    </row>
    <row r="14" spans="1:9" ht="15.75" thickBot="1" x14ac:dyDescent="0.3">
      <c r="A14" s="18" t="s">
        <v>50</v>
      </c>
      <c r="B14" s="18">
        <v>24</v>
      </c>
      <c r="C14" s="18">
        <v>1.2742935424549096</v>
      </c>
      <c r="D14" s="18"/>
      <c r="E14" s="18"/>
      <c r="F14" s="18"/>
    </row>
    <row r="15" spans="1:9" ht="15.75" thickBot="1" x14ac:dyDescent="0.3"/>
    <row r="16" spans="1:9" x14ac:dyDescent="0.25">
      <c r="A16" s="19"/>
      <c r="B16" s="19" t="s">
        <v>57</v>
      </c>
      <c r="C16" s="19" t="s">
        <v>45</v>
      </c>
      <c r="D16" s="19" t="s">
        <v>58</v>
      </c>
      <c r="E16" s="19" t="s">
        <v>59</v>
      </c>
      <c r="F16" s="19" t="s">
        <v>60</v>
      </c>
      <c r="G16" s="19" t="s">
        <v>61</v>
      </c>
      <c r="H16" s="19" t="s">
        <v>62</v>
      </c>
      <c r="I16" s="19" t="s">
        <v>63</v>
      </c>
    </row>
    <row r="17" spans="1:9" x14ac:dyDescent="0.25">
      <c r="A17" s="20" t="s">
        <v>51</v>
      </c>
      <c r="B17" s="20">
        <v>1.7190712796648236E-15</v>
      </c>
      <c r="C17" s="20">
        <v>1.0790492777776445E-15</v>
      </c>
      <c r="D17" s="20">
        <v>1.5931351005630958</v>
      </c>
      <c r="E17" s="20">
        <v>0.1394368946878517</v>
      </c>
      <c r="F17" s="20">
        <v>-6.5590016773137195E-16</v>
      </c>
      <c r="G17" s="20">
        <v>4.0940427270610191E-15</v>
      </c>
      <c r="H17" s="20">
        <v>-6.5590016773137195E-16</v>
      </c>
      <c r="I17" s="20">
        <v>4.0940427270610191E-15</v>
      </c>
    </row>
    <row r="18" spans="1:9" x14ac:dyDescent="0.25">
      <c r="A18" s="20" t="s">
        <v>64</v>
      </c>
      <c r="B18" s="20">
        <v>-8.4038262507636949E-21</v>
      </c>
      <c r="C18" s="20">
        <v>7.5802553700182452E-21</v>
      </c>
      <c r="D18" s="20">
        <v>-1.1086468516618679</v>
      </c>
      <c r="E18" s="20">
        <v>0.29123345502377296</v>
      </c>
      <c r="F18" s="20">
        <v>-2.5087855829878804E-20</v>
      </c>
      <c r="G18" s="20">
        <v>8.2802033283514127E-21</v>
      </c>
      <c r="H18" s="20">
        <v>-2.5087855829878804E-20</v>
      </c>
      <c r="I18" s="20">
        <v>8.2802033283514127E-21</v>
      </c>
    </row>
    <row r="19" spans="1:9" x14ac:dyDescent="0.25">
      <c r="A19" s="20" t="s">
        <v>65</v>
      </c>
      <c r="B19" s="20">
        <v>1.847308974460356E-17</v>
      </c>
      <c r="C19" s="20">
        <v>1.9242331999561219E-17</v>
      </c>
      <c r="D19" s="20">
        <v>0.9600234392081376</v>
      </c>
      <c r="E19" s="20">
        <v>0.35767057484832232</v>
      </c>
      <c r="F19" s="20">
        <v>-2.3878997431987147E-17</v>
      </c>
      <c r="G19" s="20">
        <v>6.0825176921194265E-17</v>
      </c>
      <c r="H19" s="20">
        <v>-2.3878997431987147E-17</v>
      </c>
      <c r="I19" s="20">
        <v>6.0825176921194265E-17</v>
      </c>
    </row>
    <row r="20" spans="1:9" x14ac:dyDescent="0.25">
      <c r="A20" s="20" t="s">
        <v>66</v>
      </c>
      <c r="B20" s="20">
        <v>-1.0632287330378825E-17</v>
      </c>
      <c r="C20" s="20">
        <v>7.2627658200800645E-18</v>
      </c>
      <c r="D20" s="20">
        <v>-1.4639446725629954</v>
      </c>
      <c r="E20" s="20">
        <v>0.17119287945460643</v>
      </c>
      <c r="F20" s="20">
        <v>-2.6617527121595827E-17</v>
      </c>
      <c r="G20" s="20">
        <v>5.3529524608381744E-18</v>
      </c>
      <c r="H20" s="20">
        <v>-2.6617527121595827E-17</v>
      </c>
      <c r="I20" s="20">
        <v>5.3529524608381744E-18</v>
      </c>
    </row>
    <row r="21" spans="1:9" x14ac:dyDescent="0.25">
      <c r="A21" s="20" t="s">
        <v>67</v>
      </c>
      <c r="B21" s="20">
        <v>-1.1707105475303738E-18</v>
      </c>
      <c r="C21" s="20">
        <v>1.3271276394870579E-18</v>
      </c>
      <c r="D21" s="20">
        <v>-0.88213862231281681</v>
      </c>
      <c r="E21" s="20">
        <v>0.3965693794700903</v>
      </c>
      <c r="F21" s="20">
        <v>-4.0916987875888337E-18</v>
      </c>
      <c r="G21" s="20">
        <v>1.7502776925280864E-18</v>
      </c>
      <c r="H21" s="20">
        <v>-4.0916987875888337E-18</v>
      </c>
      <c r="I21" s="20">
        <v>1.7502776925280864E-18</v>
      </c>
    </row>
    <row r="22" spans="1:9" x14ac:dyDescent="0.25">
      <c r="A22" s="20" t="s">
        <v>68</v>
      </c>
      <c r="B22" s="20">
        <v>0.99999999999999956</v>
      </c>
      <c r="C22" s="20">
        <v>2.6575263135871041E-16</v>
      </c>
      <c r="D22" s="20">
        <v>3762897830540044.5</v>
      </c>
      <c r="E22" s="20">
        <v>5.8654309896770166E-167</v>
      </c>
      <c r="F22" s="20">
        <v>0.999999999999999</v>
      </c>
      <c r="G22" s="20">
        <v>1.0000000000000002</v>
      </c>
      <c r="H22" s="20">
        <v>0.999999999999999</v>
      </c>
      <c r="I22" s="20">
        <v>1.0000000000000002</v>
      </c>
    </row>
    <row r="23" spans="1:9" x14ac:dyDescent="0.25">
      <c r="A23" s="20" t="s">
        <v>69</v>
      </c>
      <c r="B23" s="20">
        <v>-6.1350504862121213E-18</v>
      </c>
      <c r="C23" s="20">
        <v>6.9591989969418925E-18</v>
      </c>
      <c r="D23" s="20">
        <v>-0.88157422842888533</v>
      </c>
      <c r="E23" s="20">
        <v>0.39686156933589645</v>
      </c>
      <c r="F23" s="20">
        <v>-2.1452144204605842E-17</v>
      </c>
      <c r="G23" s="20">
        <v>9.1820432321816014E-18</v>
      </c>
      <c r="H23" s="20">
        <v>-2.1452144204605842E-17</v>
      </c>
      <c r="I23" s="20">
        <v>9.1820432321816014E-18</v>
      </c>
    </row>
    <row r="24" spans="1:9" x14ac:dyDescent="0.25">
      <c r="A24" s="20" t="s">
        <v>70</v>
      </c>
      <c r="B24" s="20">
        <v>1.3266364768579846E-21</v>
      </c>
      <c r="C24" s="20">
        <v>5.9754408409928937E-22</v>
      </c>
      <c r="D24" s="20">
        <v>2.2201482905779173</v>
      </c>
      <c r="E24" s="20">
        <v>4.8352840202044077E-2</v>
      </c>
      <c r="F24" s="20">
        <v>1.1450815254898821E-23</v>
      </c>
      <c r="G24" s="20">
        <v>2.6418221384610703E-21</v>
      </c>
      <c r="H24" s="20">
        <v>1.1450815254898821E-23</v>
      </c>
      <c r="I24" s="20">
        <v>2.6418221384610703E-21</v>
      </c>
    </row>
    <row r="25" spans="1:9" x14ac:dyDescent="0.25">
      <c r="A25" s="20" t="s">
        <v>87</v>
      </c>
      <c r="B25" s="20">
        <v>-6.7887499368613494E-20</v>
      </c>
      <c r="C25" s="20">
        <v>1.3675063819611722E-19</v>
      </c>
      <c r="D25" s="20">
        <v>-0.49643277913814543</v>
      </c>
      <c r="E25" s="20">
        <v>0.62935991572130945</v>
      </c>
      <c r="F25" s="20">
        <v>-3.688736246713283E-19</v>
      </c>
      <c r="G25" s="20">
        <v>2.3309862593410128E-19</v>
      </c>
      <c r="H25" s="20">
        <v>-3.688736246713283E-19</v>
      </c>
      <c r="I25" s="20">
        <v>2.3309862593410128E-19</v>
      </c>
    </row>
    <row r="26" spans="1:9" x14ac:dyDescent="0.25">
      <c r="A26" s="20" t="s">
        <v>88</v>
      </c>
      <c r="B26" s="20">
        <v>-4.1155083815355798E-17</v>
      </c>
      <c r="C26" s="20">
        <v>4.2527247847464054E-17</v>
      </c>
      <c r="D26" s="20">
        <v>-0.96773447374187227</v>
      </c>
      <c r="E26" s="20">
        <v>0.35397302414564435</v>
      </c>
      <c r="F26" s="20">
        <v>-1.3475692522716325E-16</v>
      </c>
      <c r="G26" s="20">
        <v>5.2446757596451649E-17</v>
      </c>
      <c r="H26" s="20">
        <v>-1.3475692522716325E-16</v>
      </c>
      <c r="I26" s="20">
        <v>5.2446757596451649E-17</v>
      </c>
    </row>
    <row r="27" spans="1:9" x14ac:dyDescent="0.25">
      <c r="A27" s="20" t="s">
        <v>89</v>
      </c>
      <c r="B27" s="20">
        <v>-3.7981231629546145E-18</v>
      </c>
      <c r="C27" s="20">
        <v>3.9770752154553268E-18</v>
      </c>
      <c r="D27" s="20">
        <v>-0.95500410658433466</v>
      </c>
      <c r="E27" s="20">
        <v>0.36009227451260994</v>
      </c>
      <c r="F27" s="20">
        <v>-1.2551606692740044E-17</v>
      </c>
      <c r="G27" s="20">
        <v>4.955360366830815E-18</v>
      </c>
      <c r="H27" s="20">
        <v>-1.2551606692740044E-17</v>
      </c>
      <c r="I27" s="20">
        <v>4.955360366830815E-18</v>
      </c>
    </row>
    <row r="28" spans="1:9" x14ac:dyDescent="0.25">
      <c r="A28" s="20" t="s">
        <v>90</v>
      </c>
      <c r="B28" s="20">
        <v>7.2323533466220304E-18</v>
      </c>
      <c r="C28" s="20">
        <v>5.0775125474622441E-18</v>
      </c>
      <c r="D28" s="20">
        <v>1.4243890643336337</v>
      </c>
      <c r="E28" s="20">
        <v>0.18208002237535609</v>
      </c>
      <c r="F28" s="20">
        <v>-3.9431764205214602E-18</v>
      </c>
      <c r="G28" s="20">
        <v>1.8407883113765523E-17</v>
      </c>
      <c r="H28" s="20">
        <v>-3.9431764205214602E-18</v>
      </c>
      <c r="I28" s="20">
        <v>1.8407883113765523E-17</v>
      </c>
    </row>
    <row r="29" spans="1:9" x14ac:dyDescent="0.25">
      <c r="A29" s="20" t="s">
        <v>91</v>
      </c>
      <c r="B29" s="20">
        <v>1</v>
      </c>
      <c r="C29" s="20">
        <v>2.0517629933026196E-16</v>
      </c>
      <c r="D29" s="20">
        <v>4873857279150699</v>
      </c>
      <c r="E29" s="20">
        <v>3.4075774708299436E-168</v>
      </c>
      <c r="F29" s="20">
        <v>0.99999999999999956</v>
      </c>
      <c r="G29" s="20">
        <v>1.0000000000000004</v>
      </c>
      <c r="H29" s="20">
        <v>0.99999999999999956</v>
      </c>
      <c r="I29" s="20">
        <v>1.0000000000000004</v>
      </c>
    </row>
    <row r="30" spans="1:9" ht="15.75" thickBot="1" x14ac:dyDescent="0.3">
      <c r="A30" s="18" t="s">
        <v>92</v>
      </c>
      <c r="B30" s="18">
        <v>-6.4002408370769346E-17</v>
      </c>
      <c r="C30" s="18">
        <v>3.6161357605567031E-17</v>
      </c>
      <c r="D30" s="18">
        <v>-1.7699116573243974</v>
      </c>
      <c r="E30" s="18">
        <v>0.10441736140886229</v>
      </c>
      <c r="F30" s="18">
        <v>-1.4359301982938929E-16</v>
      </c>
      <c r="G30" s="18">
        <v>1.5588203087850593E-17</v>
      </c>
      <c r="H30" s="18">
        <v>-1.4359301982938929E-16</v>
      </c>
      <c r="I30" s="18">
        <v>1.5588203087850593E-17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A2" sqref="A1:E5"/>
    </sheetView>
  </sheetViews>
  <sheetFormatPr defaultRowHeight="15" x14ac:dyDescent="0.25"/>
  <sheetData>
    <row r="1" spans="1:5" x14ac:dyDescent="0.25">
      <c r="A1" s="19"/>
      <c r="B1" s="19" t="s">
        <v>32</v>
      </c>
      <c r="C1" s="19" t="s">
        <v>33</v>
      </c>
      <c r="D1" s="19" t="s">
        <v>34</v>
      </c>
      <c r="E1" s="19" t="s">
        <v>35</v>
      </c>
    </row>
    <row r="2" spans="1:5" x14ac:dyDescent="0.25">
      <c r="A2" s="20" t="s">
        <v>32</v>
      </c>
      <c r="B2" s="20">
        <v>1</v>
      </c>
      <c r="C2" s="20"/>
      <c r="D2" s="20"/>
      <c r="E2" s="20"/>
    </row>
    <row r="3" spans="1:5" x14ac:dyDescent="0.25">
      <c r="A3" s="20" t="s">
        <v>33</v>
      </c>
      <c r="B3" s="20">
        <v>0.30044229041552678</v>
      </c>
      <c r="C3" s="20">
        <v>1</v>
      </c>
      <c r="D3" s="20"/>
      <c r="E3" s="20"/>
    </row>
    <row r="4" spans="1:5" x14ac:dyDescent="0.25">
      <c r="A4" s="20" t="s">
        <v>34</v>
      </c>
      <c r="B4" s="20">
        <v>0.58770420407166812</v>
      </c>
      <c r="C4" s="20">
        <v>0.25232210752328293</v>
      </c>
      <c r="D4" s="20">
        <v>1</v>
      </c>
      <c r="E4" s="20"/>
    </row>
    <row r="5" spans="1:5" ht="15.75" thickBot="1" x14ac:dyDescent="0.3">
      <c r="A5" s="18" t="s">
        <v>35</v>
      </c>
      <c r="B5" s="18">
        <v>0.33519645397464426</v>
      </c>
      <c r="C5" s="18">
        <v>9.2754158832028644E-2</v>
      </c>
      <c r="D5" s="18">
        <v>0.50959636694320154</v>
      </c>
      <c r="E5" s="18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D17" sqref="D17"/>
    </sheetView>
  </sheetViews>
  <sheetFormatPr defaultRowHeight="15" x14ac:dyDescent="0.25"/>
  <sheetData>
    <row r="1" spans="1:9" x14ac:dyDescent="0.25">
      <c r="A1" t="s">
        <v>40</v>
      </c>
    </row>
    <row r="2" spans="1:9" ht="15.75" thickBot="1" x14ac:dyDescent="0.3"/>
    <row r="3" spans="1:9" x14ac:dyDescent="0.25">
      <c r="A3" s="21" t="s">
        <v>41</v>
      </c>
      <c r="B3" s="21"/>
    </row>
    <row r="4" spans="1:9" x14ac:dyDescent="0.25">
      <c r="A4" s="20" t="s">
        <v>42</v>
      </c>
      <c r="B4" s="20">
        <v>0.61029017770357807</v>
      </c>
    </row>
    <row r="5" spans="1:9" x14ac:dyDescent="0.25">
      <c r="A5" s="20" t="s">
        <v>43</v>
      </c>
      <c r="B5" s="20">
        <v>0.37245410100146487</v>
      </c>
    </row>
    <row r="6" spans="1:9" x14ac:dyDescent="0.25">
      <c r="A6" s="20" t="s">
        <v>44</v>
      </c>
      <c r="B6" s="20">
        <v>0.28280468685881699</v>
      </c>
    </row>
    <row r="7" spans="1:9" x14ac:dyDescent="0.25">
      <c r="A7" s="20" t="s">
        <v>45</v>
      </c>
      <c r="B7" s="20">
        <v>0.19514069243056578</v>
      </c>
    </row>
    <row r="8" spans="1:9" ht="15.75" thickBot="1" x14ac:dyDescent="0.3">
      <c r="A8" s="18" t="s">
        <v>46</v>
      </c>
      <c r="B8" s="18">
        <v>25</v>
      </c>
    </row>
    <row r="10" spans="1:9" ht="15.75" thickBot="1" x14ac:dyDescent="0.3">
      <c r="A10" t="s">
        <v>47</v>
      </c>
    </row>
    <row r="11" spans="1:9" x14ac:dyDescent="0.25">
      <c r="A11" s="19"/>
      <c r="B11" s="19" t="s">
        <v>52</v>
      </c>
      <c r="C11" s="19" t="s">
        <v>53</v>
      </c>
      <c r="D11" s="19" t="s">
        <v>54</v>
      </c>
      <c r="E11" s="19" t="s">
        <v>55</v>
      </c>
      <c r="F11" s="19" t="s">
        <v>56</v>
      </c>
    </row>
    <row r="12" spans="1:9" x14ac:dyDescent="0.25">
      <c r="A12" s="20" t="s">
        <v>48</v>
      </c>
      <c r="B12" s="20">
        <v>3</v>
      </c>
      <c r="C12" s="20">
        <v>0.47461585576701537</v>
      </c>
      <c r="D12" s="20">
        <v>0.15820528525567179</v>
      </c>
      <c r="E12" s="20">
        <v>4.1545625764918599</v>
      </c>
      <c r="F12" s="20">
        <v>1.8530849352707855E-2</v>
      </c>
    </row>
    <row r="13" spans="1:9" x14ac:dyDescent="0.25">
      <c r="A13" s="20" t="s">
        <v>49</v>
      </c>
      <c r="B13" s="20">
        <v>21</v>
      </c>
      <c r="C13" s="20">
        <v>0.79967768668789418</v>
      </c>
      <c r="D13" s="20">
        <v>3.8079889842280674E-2</v>
      </c>
      <c r="E13" s="20"/>
      <c r="F13" s="20"/>
    </row>
    <row r="14" spans="1:9" ht="15.75" thickBot="1" x14ac:dyDescent="0.3">
      <c r="A14" s="18" t="s">
        <v>50</v>
      </c>
      <c r="B14" s="18">
        <v>24</v>
      </c>
      <c r="C14" s="18">
        <v>1.2742935424549096</v>
      </c>
      <c r="D14" s="18"/>
      <c r="E14" s="18"/>
      <c r="F14" s="18"/>
    </row>
    <row r="15" spans="1:9" ht="15.75" thickBot="1" x14ac:dyDescent="0.3"/>
    <row r="16" spans="1:9" x14ac:dyDescent="0.25">
      <c r="A16" s="19"/>
      <c r="B16" s="19" t="s">
        <v>57</v>
      </c>
      <c r="C16" s="19" t="s">
        <v>45</v>
      </c>
      <c r="D16" s="19" t="s">
        <v>58</v>
      </c>
      <c r="E16" s="19" t="s">
        <v>59</v>
      </c>
      <c r="F16" s="19" t="s">
        <v>60</v>
      </c>
      <c r="G16" s="19" t="s">
        <v>61</v>
      </c>
      <c r="H16" s="19" t="s">
        <v>62</v>
      </c>
      <c r="I16" s="19" t="s">
        <v>63</v>
      </c>
    </row>
    <row r="17" spans="1:9" x14ac:dyDescent="0.25">
      <c r="A17" s="20" t="s">
        <v>51</v>
      </c>
      <c r="B17" s="20">
        <v>5.1987541080224089E-2</v>
      </c>
      <c r="C17" s="20">
        <v>0.41506011473398985</v>
      </c>
      <c r="D17" s="20">
        <v>6.1252530398242202</v>
      </c>
      <c r="E17" s="20">
        <v>0.90151455580761508</v>
      </c>
      <c r="F17" s="20">
        <v>-0.81117721991484049</v>
      </c>
      <c r="G17" s="20">
        <v>0.91515230207528864</v>
      </c>
      <c r="H17" s="20">
        <v>-0.81117721991484049</v>
      </c>
      <c r="I17" s="20">
        <v>0.91515230207528864</v>
      </c>
    </row>
    <row r="18" spans="1:9" x14ac:dyDescent="0.25">
      <c r="A18" s="20" t="s">
        <v>64</v>
      </c>
      <c r="B18" s="20">
        <v>5.5522831154494954E-7</v>
      </c>
      <c r="C18" s="20">
        <v>6.0299923217794654E-7</v>
      </c>
      <c r="D18" s="20">
        <v>0.92077780852148805</v>
      </c>
      <c r="E18" s="20">
        <v>0.36762379817066204</v>
      </c>
      <c r="F18" s="20">
        <v>-6.9877724005246883E-7</v>
      </c>
      <c r="G18" s="20">
        <v>1.8092338631423679E-6</v>
      </c>
      <c r="H18" s="20">
        <v>-6.9877724005246883E-7</v>
      </c>
      <c r="I18" s="20">
        <v>1.8092338631423679E-6</v>
      </c>
    </row>
    <row r="19" spans="1:9" x14ac:dyDescent="0.25">
      <c r="A19" s="20" t="s">
        <v>65</v>
      </c>
      <c r="B19" s="20">
        <v>0.12832061815988294</v>
      </c>
      <c r="C19" s="20">
        <v>5.1307916390892293E-2</v>
      </c>
      <c r="D19" s="20">
        <v>2.5009906304178284</v>
      </c>
      <c r="E19" s="20">
        <v>2.0733838606411835E-2</v>
      </c>
      <c r="F19" s="20">
        <v>2.1619964889253065E-2</v>
      </c>
      <c r="G19" s="20">
        <v>0.23502127143051282</v>
      </c>
      <c r="H19" s="20">
        <v>2.1619964889253065E-2</v>
      </c>
      <c r="I19" s="20">
        <v>0.23502127143051282</v>
      </c>
    </row>
    <row r="20" spans="1:9" ht="15.75" thickBot="1" x14ac:dyDescent="0.3">
      <c r="A20" s="18" t="s">
        <v>66</v>
      </c>
      <c r="B20" s="18">
        <v>9.2240185040630644E-3</v>
      </c>
      <c r="C20" s="18">
        <v>3.3007490618694145E-2</v>
      </c>
      <c r="D20" s="18">
        <v>3.2794522798058101</v>
      </c>
      <c r="E20" s="18">
        <v>0.78263159010125061</v>
      </c>
      <c r="F20" s="18">
        <v>-5.9418815966292289E-2</v>
      </c>
      <c r="G20" s="18">
        <v>7.7866852974418421E-2</v>
      </c>
      <c r="H20" s="18">
        <v>-5.9418815966292289E-2</v>
      </c>
      <c r="I20" s="18">
        <v>7.7866852974418421E-2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1"/>
  <sheetViews>
    <sheetView tabSelected="1" zoomScale="70" zoomScaleNormal="70" workbookViewId="0">
      <selection activeCell="E1" sqref="E1"/>
    </sheetView>
  </sheetViews>
  <sheetFormatPr defaultRowHeight="15" x14ac:dyDescent="0.25"/>
  <cols>
    <col min="1" max="1" width="23.140625" customWidth="1"/>
    <col min="2" max="2" width="18.42578125" customWidth="1"/>
    <col min="3" max="3" width="15.42578125" customWidth="1"/>
    <col min="4" max="4" width="15.28515625" customWidth="1"/>
    <col min="5" max="5" width="17" customWidth="1"/>
    <col min="6" max="6" width="16.140625" customWidth="1"/>
    <col min="7" max="7" width="17.140625" customWidth="1"/>
    <col min="8" max="8" width="14.5703125" customWidth="1"/>
    <col min="9" max="9" width="17.5703125" customWidth="1"/>
    <col min="10" max="10" width="16.7109375" customWidth="1"/>
    <col min="11" max="11" width="15.85546875" customWidth="1"/>
    <col min="13" max="13" width="11" bestFit="1" customWidth="1"/>
    <col min="14" max="14" width="16.7109375" bestFit="1" customWidth="1"/>
    <col min="15" max="15" width="16.7109375" customWidth="1"/>
    <col min="16" max="16" width="20" bestFit="1" customWidth="1"/>
    <col min="17" max="17" width="12.85546875" bestFit="1" customWidth="1"/>
    <col min="18" max="18" width="14.42578125" bestFit="1" customWidth="1"/>
    <col min="19" max="19" width="16.7109375" bestFit="1" customWidth="1"/>
    <col min="20" max="20" width="14" bestFit="1" customWidth="1"/>
  </cols>
  <sheetData>
    <row r="1" spans="1:22" ht="153" customHeight="1" x14ac:dyDescent="0.25">
      <c r="A1" s="3"/>
      <c r="B1" s="22" t="s">
        <v>31</v>
      </c>
      <c r="C1" s="38" t="s">
        <v>71</v>
      </c>
      <c r="D1" s="37" t="s">
        <v>78</v>
      </c>
      <c r="E1" s="39" t="s">
        <v>30</v>
      </c>
      <c r="F1" s="24" t="s">
        <v>72</v>
      </c>
      <c r="G1" s="16" t="s">
        <v>73</v>
      </c>
      <c r="H1" s="17" t="s">
        <v>74</v>
      </c>
      <c r="I1" s="16" t="s">
        <v>75</v>
      </c>
      <c r="J1" s="10" t="s">
        <v>29</v>
      </c>
      <c r="K1" s="6" t="s">
        <v>28</v>
      </c>
      <c r="M1" s="17" t="s">
        <v>79</v>
      </c>
      <c r="N1" s="17" t="s">
        <v>81</v>
      </c>
      <c r="O1" s="17" t="s">
        <v>82</v>
      </c>
      <c r="P1" s="17" t="s">
        <v>83</v>
      </c>
      <c r="R1" s="5" t="s">
        <v>25</v>
      </c>
      <c r="S1" s="8" t="s">
        <v>27</v>
      </c>
      <c r="T1" s="8" t="s">
        <v>26</v>
      </c>
      <c r="U1" s="31"/>
      <c r="V1" s="31"/>
    </row>
    <row r="2" spans="1:22" x14ac:dyDescent="0.25">
      <c r="A2" s="3" t="s">
        <v>0</v>
      </c>
      <c r="B2" s="23">
        <f>468.6/R2</f>
        <v>0.33163481953290874</v>
      </c>
      <c r="C2" s="33">
        <v>200178.9</v>
      </c>
      <c r="D2" s="35">
        <v>0.04</v>
      </c>
      <c r="E2" s="13">
        <v>11.1</v>
      </c>
      <c r="F2" s="15">
        <v>102.2</v>
      </c>
      <c r="G2" s="13">
        <v>77.7</v>
      </c>
      <c r="H2" s="14">
        <f>185.9/R2</f>
        <v>0.13156404812455769</v>
      </c>
      <c r="I2" s="32">
        <v>108</v>
      </c>
      <c r="J2" s="11">
        <v>18796</v>
      </c>
      <c r="K2" s="34">
        <f t="shared" ref="K2:K26" si="0">S2/R2</f>
        <v>112.69341825902335</v>
      </c>
      <c r="M2" s="35">
        <v>103.9</v>
      </c>
      <c r="N2" s="35">
        <v>43.7</v>
      </c>
      <c r="O2" s="14">
        <f>B2-H2</f>
        <v>0.20007077140835106</v>
      </c>
      <c r="P2" s="14">
        <f>B2/H2</f>
        <v>2.5207100591715976</v>
      </c>
      <c r="R2" s="2">
        <v>1413</v>
      </c>
      <c r="S2" s="7">
        <v>159235.79999999999</v>
      </c>
      <c r="T2" s="4">
        <v>697.6</v>
      </c>
    </row>
    <row r="3" spans="1:22" x14ac:dyDescent="0.25">
      <c r="A3" s="2" t="s">
        <v>1</v>
      </c>
      <c r="B3" s="23">
        <f>677/R3</f>
        <v>0.29068269643623873</v>
      </c>
      <c r="C3" s="33">
        <v>243941.3</v>
      </c>
      <c r="D3" s="35">
        <v>0.08</v>
      </c>
      <c r="E3" s="13">
        <v>10.7</v>
      </c>
      <c r="F3" s="15">
        <v>109.3</v>
      </c>
      <c r="G3" s="13">
        <v>66.7</v>
      </c>
      <c r="H3" s="14">
        <f>522.7/R3</f>
        <v>0.22443108630313441</v>
      </c>
      <c r="I3" s="32">
        <v>106.1</v>
      </c>
      <c r="J3" s="11">
        <v>22056</v>
      </c>
      <c r="K3" s="34">
        <f t="shared" si="0"/>
        <v>228.60523829969944</v>
      </c>
      <c r="M3" s="35">
        <v>105.5</v>
      </c>
      <c r="N3" s="35">
        <v>43</v>
      </c>
      <c r="O3" s="14">
        <f t="shared" ref="O3:O26" si="1">B3-H3</f>
        <v>6.6251610133104322E-2</v>
      </c>
      <c r="P3" s="14">
        <f t="shared" ref="P3:P25" si="2">B3/H3</f>
        <v>1.2951980103309737</v>
      </c>
      <c r="R3" s="2">
        <v>2329</v>
      </c>
      <c r="S3" s="7">
        <v>532421.6</v>
      </c>
      <c r="T3" s="4">
        <v>1057</v>
      </c>
    </row>
    <row r="4" spans="1:22" x14ac:dyDescent="0.25">
      <c r="A4" s="2" t="s">
        <v>2</v>
      </c>
      <c r="B4" s="23">
        <f>112.2/R4</f>
        <v>0.10757430488974114</v>
      </c>
      <c r="C4" s="33">
        <v>129826</v>
      </c>
      <c r="D4" s="35">
        <v>0.01</v>
      </c>
      <c r="E4" s="13">
        <v>11.2</v>
      </c>
      <c r="F4" s="15">
        <v>96.4</v>
      </c>
      <c r="G4" s="13">
        <v>81.099999999999994</v>
      </c>
      <c r="H4" s="14">
        <f>284.3/R4</f>
        <v>0.27257909875359543</v>
      </c>
      <c r="I4" s="32">
        <v>106.2</v>
      </c>
      <c r="J4" s="11">
        <v>18123</v>
      </c>
      <c r="K4" s="34">
        <f t="shared" si="0"/>
        <v>162.41169702780439</v>
      </c>
      <c r="M4" s="35">
        <v>99.7</v>
      </c>
      <c r="N4" s="35">
        <v>42.2</v>
      </c>
      <c r="O4" s="14">
        <f t="shared" si="1"/>
        <v>-0.1650047938638543</v>
      </c>
      <c r="P4" s="14">
        <f t="shared" si="2"/>
        <v>0.3946535349982413</v>
      </c>
      <c r="R4" s="2">
        <v>1043</v>
      </c>
      <c r="S4" s="7">
        <v>169395.4</v>
      </c>
      <c r="T4" s="4">
        <v>489.4</v>
      </c>
    </row>
    <row r="5" spans="1:22" x14ac:dyDescent="0.25">
      <c r="A5" s="2" t="s">
        <v>3</v>
      </c>
      <c r="B5" s="23">
        <f>592.2/R5</f>
        <v>0.58925373134328363</v>
      </c>
      <c r="C5" s="33">
        <v>286496.7</v>
      </c>
      <c r="D5" s="35">
        <v>0.04</v>
      </c>
      <c r="E5" s="13">
        <v>11.7</v>
      </c>
      <c r="F5" s="15">
        <v>109.6</v>
      </c>
      <c r="G5" s="13">
        <v>75.900000000000006</v>
      </c>
      <c r="H5" s="14">
        <f>210.3/R5</f>
        <v>0.20925373134328359</v>
      </c>
      <c r="I5" s="32">
        <v>105.9</v>
      </c>
      <c r="J5" s="11">
        <v>23182</v>
      </c>
      <c r="K5" s="34">
        <f t="shared" si="0"/>
        <v>243.84905472636814</v>
      </c>
      <c r="M5" s="35">
        <v>98</v>
      </c>
      <c r="N5" s="34">
        <v>35.799999999999997</v>
      </c>
      <c r="O5" s="14">
        <f t="shared" si="1"/>
        <v>0.38</v>
      </c>
      <c r="P5" s="14">
        <f t="shared" si="2"/>
        <v>2.8159771754636234</v>
      </c>
      <c r="R5" s="2">
        <v>1005</v>
      </c>
      <c r="S5" s="7">
        <v>245068.3</v>
      </c>
      <c r="T5" s="4">
        <v>490.2</v>
      </c>
    </row>
    <row r="6" spans="1:22" x14ac:dyDescent="0.25">
      <c r="A6" s="2" t="s">
        <v>4</v>
      </c>
      <c r="B6" s="23">
        <f>183.8/R6</f>
        <v>0.28018292682926832</v>
      </c>
      <c r="C6" s="33">
        <v>199326.8</v>
      </c>
      <c r="D6" s="35">
        <v>0.01</v>
      </c>
      <c r="E6" s="13">
        <v>12.7</v>
      </c>
      <c r="F6" s="15">
        <v>104.1</v>
      </c>
      <c r="G6" s="13">
        <v>70.8</v>
      </c>
      <c r="H6" s="14">
        <f>64.6/R6</f>
        <v>9.8475609756097551E-2</v>
      </c>
      <c r="I6" s="32">
        <v>104.6</v>
      </c>
      <c r="J6" s="11">
        <v>17575</v>
      </c>
      <c r="K6" s="34">
        <f t="shared" si="0"/>
        <v>159.85609756097563</v>
      </c>
      <c r="M6" s="35">
        <v>102.2</v>
      </c>
      <c r="N6" s="34">
        <v>48.4</v>
      </c>
      <c r="O6" s="14">
        <f t="shared" si="1"/>
        <v>0.18170731707317078</v>
      </c>
      <c r="P6" s="14">
        <f t="shared" si="2"/>
        <v>2.8452012383900933</v>
      </c>
      <c r="R6" s="2">
        <v>656</v>
      </c>
      <c r="S6" s="7">
        <v>104865.60000000001</v>
      </c>
      <c r="T6" s="4">
        <v>305.60000000000002</v>
      </c>
    </row>
    <row r="7" spans="1:22" x14ac:dyDescent="0.25">
      <c r="A7" s="1" t="s">
        <v>5</v>
      </c>
      <c r="B7" s="23">
        <f>228.7/R7</f>
        <v>0.20437890974084003</v>
      </c>
      <c r="C7" s="33">
        <v>226551.7</v>
      </c>
      <c r="D7" s="35">
        <v>0.51</v>
      </c>
      <c r="E7" s="13">
        <v>11.6</v>
      </c>
      <c r="F7" s="15">
        <v>104.7</v>
      </c>
      <c r="G7" s="13">
        <v>66.5</v>
      </c>
      <c r="H7" s="14">
        <f>460.6/R7</f>
        <v>0.41161751563896337</v>
      </c>
      <c r="I7" s="32">
        <v>100.8</v>
      </c>
      <c r="J7" s="11">
        <v>20809</v>
      </c>
      <c r="K7" s="34">
        <f t="shared" si="0"/>
        <v>142.71903485254691</v>
      </c>
      <c r="M7" s="35">
        <v>112.8</v>
      </c>
      <c r="N7" s="34">
        <v>47.9</v>
      </c>
      <c r="O7" s="14">
        <f t="shared" si="1"/>
        <v>-0.20723860589812335</v>
      </c>
      <c r="P7" s="14">
        <f t="shared" si="2"/>
        <v>0.49652627008250105</v>
      </c>
      <c r="R7" s="2">
        <v>1119</v>
      </c>
      <c r="S7" s="7">
        <v>159702.6</v>
      </c>
      <c r="T7" s="4">
        <v>570.29999999999995</v>
      </c>
    </row>
    <row r="8" spans="1:22" x14ac:dyDescent="0.25">
      <c r="A8" s="1" t="s">
        <v>6</v>
      </c>
      <c r="B8" s="23">
        <f>427.6/R8</f>
        <v>0.36862068965517242</v>
      </c>
      <c r="C8" s="33">
        <v>253302.1</v>
      </c>
      <c r="D8" s="35">
        <v>0.06</v>
      </c>
      <c r="E8" s="13">
        <v>11.3</v>
      </c>
      <c r="F8" s="15">
        <v>101.8</v>
      </c>
      <c r="G8" s="13">
        <v>64.099999999999994</v>
      </c>
      <c r="H8" s="14">
        <f>330.3/R8</f>
        <v>0.28474137931034482</v>
      </c>
      <c r="I8" s="32">
        <v>100.3</v>
      </c>
      <c r="J8" s="11">
        <v>22222</v>
      </c>
      <c r="K8" s="34">
        <f t="shared" si="0"/>
        <v>320.01318965517243</v>
      </c>
      <c r="M8" s="35">
        <v>103.8</v>
      </c>
      <c r="N8" s="34">
        <v>49.2</v>
      </c>
      <c r="O8" s="14">
        <f t="shared" si="1"/>
        <v>8.3879310344827596E-2</v>
      </c>
      <c r="P8" s="14">
        <f t="shared" si="2"/>
        <v>1.2945806842264609</v>
      </c>
      <c r="R8" s="2">
        <v>1160</v>
      </c>
      <c r="S8" s="7">
        <v>371215.3</v>
      </c>
      <c r="T8" s="4">
        <v>543.4</v>
      </c>
    </row>
    <row r="9" spans="1:22" x14ac:dyDescent="0.25">
      <c r="A9" s="1" t="s">
        <v>7</v>
      </c>
      <c r="B9" s="23">
        <f>3359/R9</f>
        <v>0.47084384636949816</v>
      </c>
      <c r="C9" s="33">
        <v>348533.8</v>
      </c>
      <c r="D9" s="35">
        <v>0.09</v>
      </c>
      <c r="E9" s="13">
        <v>12.1</v>
      </c>
      <c r="F9" s="15">
        <v>104.8</v>
      </c>
      <c r="G9" s="13">
        <v>81.599999999999994</v>
      </c>
      <c r="H9" s="14">
        <f>2454.4/R9</f>
        <v>0.34404261283992149</v>
      </c>
      <c r="I9" s="32">
        <v>105.2</v>
      </c>
      <c r="J9" s="11">
        <v>32739</v>
      </c>
      <c r="K9" s="34">
        <f t="shared" si="0"/>
        <v>1144.8763246425567</v>
      </c>
      <c r="M9" s="35">
        <v>88.1</v>
      </c>
      <c r="N9" s="34">
        <v>40.5</v>
      </c>
      <c r="O9" s="14">
        <f t="shared" si="1"/>
        <v>0.12680123352957667</v>
      </c>
      <c r="P9" s="14">
        <f t="shared" si="2"/>
        <v>1.3685625814863103</v>
      </c>
      <c r="R9" s="2">
        <v>7134</v>
      </c>
      <c r="S9" s="7">
        <v>8167547.7000000002</v>
      </c>
      <c r="T9" s="4">
        <v>2982.7</v>
      </c>
    </row>
    <row r="10" spans="1:22" x14ac:dyDescent="0.25">
      <c r="A10" s="1" t="s">
        <v>8</v>
      </c>
      <c r="B10" s="23">
        <f>246.2/R10</f>
        <v>0.21577563540753725</v>
      </c>
      <c r="C10" s="33">
        <v>215619.20000000001</v>
      </c>
      <c r="D10" s="35">
        <v>0.03</v>
      </c>
      <c r="E10" s="13">
        <v>10.8</v>
      </c>
      <c r="F10" s="15">
        <v>105</v>
      </c>
      <c r="G10" s="13">
        <v>71.099999999999994</v>
      </c>
      <c r="H10" s="14">
        <f>85.5/R10</f>
        <v>7.4934268185801928E-2</v>
      </c>
      <c r="I10" s="32">
        <v>105.7</v>
      </c>
      <c r="J10" s="11">
        <v>19828</v>
      </c>
      <c r="K10" s="34">
        <f t="shared" si="0"/>
        <v>228.51717791411045</v>
      </c>
      <c r="M10" s="35">
        <v>103.7</v>
      </c>
      <c r="N10" s="34">
        <v>51</v>
      </c>
      <c r="O10" s="14">
        <f t="shared" si="1"/>
        <v>0.14084136722173532</v>
      </c>
      <c r="P10" s="14">
        <f t="shared" si="2"/>
        <v>2.8795321637426903</v>
      </c>
      <c r="R10" s="2">
        <v>1141</v>
      </c>
      <c r="S10" s="7">
        <v>260738.1</v>
      </c>
      <c r="T10" s="4">
        <v>500.7</v>
      </c>
    </row>
    <row r="11" spans="1:22" x14ac:dyDescent="0.25">
      <c r="A11" s="1" t="s">
        <v>9</v>
      </c>
      <c r="B11" s="23">
        <f>70.2/R11</f>
        <v>6.5668849391955095E-2</v>
      </c>
      <c r="C11" s="33">
        <v>188358.6</v>
      </c>
      <c r="D11" s="35">
        <v>0.01</v>
      </c>
      <c r="E11" s="13">
        <v>9.5</v>
      </c>
      <c r="F11" s="15">
        <v>108.9</v>
      </c>
      <c r="G11" s="13">
        <v>59.4</v>
      </c>
      <c r="H11" s="14">
        <f>39.3/R11</f>
        <v>3.676333021515435E-2</v>
      </c>
      <c r="I11" s="32">
        <v>106.2</v>
      </c>
      <c r="J11" s="11">
        <v>19834</v>
      </c>
      <c r="K11" s="34">
        <f t="shared" si="0"/>
        <v>174.98138447146866</v>
      </c>
      <c r="M11" s="35">
        <v>108.5</v>
      </c>
      <c r="N11" s="34">
        <v>53.7</v>
      </c>
      <c r="O11" s="14">
        <f t="shared" si="1"/>
        <v>2.8905519176800745E-2</v>
      </c>
      <c r="P11" s="14">
        <f t="shared" si="2"/>
        <v>1.7862595419847327</v>
      </c>
      <c r="R11" s="2">
        <v>1069</v>
      </c>
      <c r="S11" s="7">
        <v>187055.1</v>
      </c>
      <c r="T11" s="4">
        <v>504.1</v>
      </c>
    </row>
    <row r="12" spans="1:22" x14ac:dyDescent="0.25">
      <c r="A12" s="1" t="s">
        <v>10</v>
      </c>
      <c r="B12" s="23">
        <f>204.6/R12</f>
        <v>0.15441509433962264</v>
      </c>
      <c r="C12" s="33">
        <v>200009.7</v>
      </c>
      <c r="D12" s="35">
        <v>0.02</v>
      </c>
      <c r="E12" s="13">
        <v>11.3</v>
      </c>
      <c r="F12" s="15">
        <v>102.5</v>
      </c>
      <c r="G12" s="13">
        <v>74.900000000000006</v>
      </c>
      <c r="H12" s="14">
        <f>85.5/R12</f>
        <v>6.4528301886792455E-2</v>
      </c>
      <c r="I12" s="32">
        <v>102.1</v>
      </c>
      <c r="J12" s="11">
        <v>19106</v>
      </c>
      <c r="K12" s="34">
        <f t="shared" si="0"/>
        <v>143.95011320754716</v>
      </c>
      <c r="M12" s="35">
        <v>90.6</v>
      </c>
      <c r="N12" s="34">
        <v>41</v>
      </c>
      <c r="O12" s="14">
        <f t="shared" si="1"/>
        <v>8.9886792452830183E-2</v>
      </c>
      <c r="P12" s="14">
        <f t="shared" si="2"/>
        <v>2.3929824561403508</v>
      </c>
      <c r="R12" s="2">
        <v>1325</v>
      </c>
      <c r="S12" s="7">
        <v>190733.9</v>
      </c>
      <c r="T12" s="4">
        <v>578.20000000000005</v>
      </c>
    </row>
    <row r="13" spans="1:22" x14ac:dyDescent="0.25">
      <c r="A13" s="1" t="s">
        <v>11</v>
      </c>
      <c r="B13" s="23">
        <f>670.1/R13</f>
        <v>0.44027595269382391</v>
      </c>
      <c r="C13" s="33">
        <v>201038</v>
      </c>
      <c r="D13" s="35">
        <v>0.04</v>
      </c>
      <c r="E13" s="13">
        <v>9.9</v>
      </c>
      <c r="F13" s="15">
        <v>100</v>
      </c>
      <c r="G13" s="13">
        <v>76.599999999999994</v>
      </c>
      <c r="H13" s="14">
        <f>481.9/R13</f>
        <v>0.31662286465177397</v>
      </c>
      <c r="I13" s="32">
        <v>110.5</v>
      </c>
      <c r="J13" s="11">
        <v>20903</v>
      </c>
      <c r="K13" s="34">
        <f t="shared" si="0"/>
        <v>148.99454664914586</v>
      </c>
      <c r="M13" s="35">
        <v>98.9</v>
      </c>
      <c r="N13" s="34">
        <v>45.3</v>
      </c>
      <c r="O13" s="14">
        <f t="shared" si="1"/>
        <v>0.12365308804204994</v>
      </c>
      <c r="P13" s="14">
        <f t="shared" si="2"/>
        <v>1.3905374559037145</v>
      </c>
      <c r="R13" s="2">
        <v>1522</v>
      </c>
      <c r="S13" s="7">
        <v>226769.7</v>
      </c>
      <c r="T13" s="4">
        <v>760.5</v>
      </c>
    </row>
    <row r="14" spans="1:22" x14ac:dyDescent="0.25">
      <c r="A14" s="1" t="s">
        <v>12</v>
      </c>
      <c r="B14" s="23">
        <f>478.5/R14</f>
        <v>0.37617924528301888</v>
      </c>
      <c r="C14" s="33">
        <v>255297</v>
      </c>
      <c r="D14" s="34">
        <v>0.01</v>
      </c>
      <c r="E14" s="13">
        <v>12.1</v>
      </c>
      <c r="F14" s="15">
        <v>104.6</v>
      </c>
      <c r="G14" s="13">
        <v>81.8</v>
      </c>
      <c r="H14" s="14">
        <f>147.1/R14</f>
        <v>0.11564465408805032</v>
      </c>
      <c r="I14" s="32">
        <v>98.5</v>
      </c>
      <c r="J14" s="11">
        <v>21127</v>
      </c>
      <c r="K14" s="34">
        <f t="shared" si="0"/>
        <v>246.59968553459117</v>
      </c>
      <c r="M14" s="34">
        <v>104.5</v>
      </c>
      <c r="N14" s="34">
        <v>48</v>
      </c>
      <c r="O14" s="14">
        <f t="shared" si="1"/>
        <v>0.26053459119496858</v>
      </c>
      <c r="P14" s="14">
        <f t="shared" si="2"/>
        <v>3.2528891910265125</v>
      </c>
      <c r="R14" s="2">
        <v>1272</v>
      </c>
      <c r="S14" s="7">
        <v>313674.8</v>
      </c>
      <c r="T14" s="4">
        <v>634.20000000000005</v>
      </c>
    </row>
    <row r="15" spans="1:22" x14ac:dyDescent="0.25">
      <c r="A15" s="1" t="s">
        <v>13</v>
      </c>
      <c r="B15" s="23">
        <f>149.3/R15</f>
        <v>0.125251677852349</v>
      </c>
      <c r="C15" s="33">
        <v>387959</v>
      </c>
      <c r="D15" s="34">
        <v>0.03</v>
      </c>
      <c r="E15" s="13">
        <v>12.8</v>
      </c>
      <c r="F15" s="15">
        <v>100.6</v>
      </c>
      <c r="G15" s="13">
        <v>76.5</v>
      </c>
      <c r="H15" s="14">
        <f>38.3/R15</f>
        <v>3.2130872483221475E-2</v>
      </c>
      <c r="I15" s="32">
        <v>105.8</v>
      </c>
      <c r="J15" s="11">
        <v>26262</v>
      </c>
      <c r="K15" s="34">
        <f t="shared" si="0"/>
        <v>158.79077181208055</v>
      </c>
      <c r="M15" s="34">
        <v>95.9</v>
      </c>
      <c r="N15" s="34">
        <v>41</v>
      </c>
      <c r="O15" s="14">
        <f t="shared" si="1"/>
        <v>9.3120805369127535E-2</v>
      </c>
      <c r="P15" s="14">
        <f t="shared" si="2"/>
        <v>3.8981723237597916</v>
      </c>
      <c r="R15" s="2">
        <v>1192</v>
      </c>
      <c r="S15" s="7">
        <v>189278.6</v>
      </c>
      <c r="T15" s="4">
        <v>599.29999999999995</v>
      </c>
    </row>
    <row r="16" spans="1:22" x14ac:dyDescent="0.25">
      <c r="A16" s="1" t="s">
        <v>14</v>
      </c>
      <c r="B16" s="23">
        <f>824.9/R16</f>
        <v>0.69145012573344511</v>
      </c>
      <c r="C16" s="33">
        <v>297377.7</v>
      </c>
      <c r="D16" s="34">
        <v>0.01</v>
      </c>
      <c r="E16" s="13">
        <v>13.8</v>
      </c>
      <c r="F16" s="15">
        <v>104.8</v>
      </c>
      <c r="G16" s="13">
        <v>71.5</v>
      </c>
      <c r="H16" s="14">
        <f>145.6/R16</f>
        <v>0.12204526404023469</v>
      </c>
      <c r="I16" s="32">
        <v>105.6</v>
      </c>
      <c r="J16" s="11">
        <v>24775</v>
      </c>
      <c r="K16" s="34">
        <f t="shared" si="0"/>
        <v>488.51986588432521</v>
      </c>
      <c r="M16" s="34">
        <v>99.7</v>
      </c>
      <c r="N16" s="34">
        <v>43.1</v>
      </c>
      <c r="O16" s="14">
        <f t="shared" si="1"/>
        <v>0.56940486169321036</v>
      </c>
      <c r="P16" s="14">
        <f t="shared" si="2"/>
        <v>5.665521978021979</v>
      </c>
      <c r="R16" s="2">
        <v>1193</v>
      </c>
      <c r="S16" s="7">
        <v>582804.19999999995</v>
      </c>
      <c r="T16" s="4">
        <v>576.29999999999995</v>
      </c>
    </row>
    <row r="17" spans="1:20" x14ac:dyDescent="0.25">
      <c r="A17" s="1" t="s">
        <v>15</v>
      </c>
      <c r="B17" s="23">
        <f>176.4/R17</f>
        <v>0.17345132743362832</v>
      </c>
      <c r="C17" s="33">
        <v>208328.8</v>
      </c>
      <c r="D17" s="34">
        <v>0.96</v>
      </c>
      <c r="E17" s="13">
        <v>14.8</v>
      </c>
      <c r="F17" s="15">
        <v>111.3</v>
      </c>
      <c r="G17" s="13">
        <v>66.7</v>
      </c>
      <c r="H17" s="14">
        <f>176.4/R17</f>
        <v>0.17345132743362832</v>
      </c>
      <c r="I17" s="32">
        <v>101.5</v>
      </c>
      <c r="J17" s="11">
        <v>19777</v>
      </c>
      <c r="K17" s="34">
        <f t="shared" si="0"/>
        <v>303.44011799410026</v>
      </c>
      <c r="M17" s="34">
        <v>106.4</v>
      </c>
      <c r="N17" s="34">
        <v>47.7</v>
      </c>
      <c r="O17" s="14">
        <f t="shared" si="1"/>
        <v>0</v>
      </c>
      <c r="P17" s="14">
        <f t="shared" si="2"/>
        <v>1</v>
      </c>
      <c r="R17" s="2">
        <v>1017</v>
      </c>
      <c r="S17" s="7">
        <v>308598.59999999998</v>
      </c>
      <c r="T17" s="4">
        <v>436.9</v>
      </c>
    </row>
    <row r="18" spans="1:20" x14ac:dyDescent="0.25">
      <c r="A18" s="1" t="s">
        <v>16</v>
      </c>
      <c r="B18" s="23">
        <f>157.6/R18</f>
        <v>0.25296950240770466</v>
      </c>
      <c r="C18" s="33">
        <v>274474.3</v>
      </c>
      <c r="D18" s="34">
        <v>0.01</v>
      </c>
      <c r="E18" s="13">
        <v>11.8</v>
      </c>
      <c r="F18" s="15">
        <v>108.4</v>
      </c>
      <c r="G18" s="13">
        <v>70.5</v>
      </c>
      <c r="H18" s="14">
        <f>117.5/R18</f>
        <v>0.18860353130016053</v>
      </c>
      <c r="I18" s="32">
        <v>109.2</v>
      </c>
      <c r="J18" s="11">
        <v>21392</v>
      </c>
      <c r="K18" s="34">
        <f t="shared" si="0"/>
        <v>142.38298555377207</v>
      </c>
      <c r="M18" s="34">
        <v>117.8</v>
      </c>
      <c r="N18" s="34">
        <v>43.8</v>
      </c>
      <c r="O18" s="14">
        <f t="shared" si="1"/>
        <v>6.4365971107544134E-2</v>
      </c>
      <c r="P18" s="14">
        <f t="shared" si="2"/>
        <v>1.3412765957446808</v>
      </c>
      <c r="R18" s="2">
        <v>623</v>
      </c>
      <c r="S18" s="7">
        <v>88704.6</v>
      </c>
      <c r="T18" s="4">
        <v>309.7</v>
      </c>
    </row>
    <row r="19" spans="1:20" x14ac:dyDescent="0.25">
      <c r="A19" s="1" t="s">
        <v>17</v>
      </c>
      <c r="B19" s="23">
        <f>1724.2/R19</f>
        <v>0.67115609186453873</v>
      </c>
      <c r="C19" s="33">
        <v>221677.3</v>
      </c>
      <c r="D19" s="34">
        <v>0.47</v>
      </c>
      <c r="E19" s="13">
        <v>11.5</v>
      </c>
      <c r="F19" s="15">
        <v>102.8</v>
      </c>
      <c r="G19" s="13">
        <v>76.400000000000006</v>
      </c>
      <c r="H19" s="14">
        <f>422.6/R19</f>
        <v>0.16449980537174</v>
      </c>
      <c r="I19" s="32">
        <v>100.7</v>
      </c>
      <c r="J19" s="11">
        <v>17590</v>
      </c>
      <c r="K19" s="34">
        <f t="shared" si="0"/>
        <v>276.62207084468662</v>
      </c>
      <c r="M19" s="34">
        <v>96.7</v>
      </c>
      <c r="N19" s="34">
        <v>51.5</v>
      </c>
      <c r="O19" s="14">
        <f t="shared" si="1"/>
        <v>0.5066562864927987</v>
      </c>
      <c r="P19" s="14">
        <f t="shared" si="2"/>
        <v>4.0799810695693317</v>
      </c>
      <c r="R19" s="2">
        <v>2569</v>
      </c>
      <c r="S19" s="7">
        <v>710642.1</v>
      </c>
      <c r="T19" s="4">
        <v>1253.2</v>
      </c>
    </row>
    <row r="20" spans="1:20" x14ac:dyDescent="0.25">
      <c r="A20" s="1" t="s">
        <v>18</v>
      </c>
      <c r="B20" s="23">
        <f>1157.3/R20</f>
        <v>0.27256241168158263</v>
      </c>
      <c r="C20" s="33">
        <v>197358.8</v>
      </c>
      <c r="D20" s="34">
        <v>0.18</v>
      </c>
      <c r="E20" s="13">
        <v>11.7</v>
      </c>
      <c r="F20" s="15">
        <v>102.5</v>
      </c>
      <c r="G20" s="13">
        <v>67.8</v>
      </c>
      <c r="H20" s="14">
        <f>1821.3/R20</f>
        <v>0.42894488930758362</v>
      </c>
      <c r="I20" s="32">
        <v>104.9</v>
      </c>
      <c r="J20" s="11">
        <v>20995</v>
      </c>
      <c r="K20" s="34">
        <f t="shared" si="0"/>
        <v>159.58443240697127</v>
      </c>
      <c r="M20" s="34">
        <v>105.3</v>
      </c>
      <c r="N20" s="34">
        <v>42.2</v>
      </c>
      <c r="O20" s="14">
        <f t="shared" si="1"/>
        <v>-0.15638247762600099</v>
      </c>
      <c r="P20" s="14">
        <f t="shared" si="2"/>
        <v>0.63542524570361814</v>
      </c>
      <c r="R20" s="2">
        <v>4246</v>
      </c>
      <c r="S20" s="7">
        <v>677595.5</v>
      </c>
      <c r="T20" s="4">
        <v>1913.6</v>
      </c>
    </row>
    <row r="21" spans="1:20" x14ac:dyDescent="0.25">
      <c r="A21" s="1" t="s">
        <v>19</v>
      </c>
      <c r="B21" s="23">
        <f>111.3/R21</f>
        <v>0.14435797665369648</v>
      </c>
      <c r="C21" s="33">
        <v>357478.8</v>
      </c>
      <c r="D21" s="34">
        <v>0.96</v>
      </c>
      <c r="E21" s="13">
        <v>11.9</v>
      </c>
      <c r="F21" s="15">
        <v>100.5</v>
      </c>
      <c r="G21" s="13">
        <v>92.7</v>
      </c>
      <c r="H21" s="14">
        <f>31.9/R21</f>
        <v>4.1374837872892346E-2</v>
      </c>
      <c r="I21" s="32">
        <v>97.8</v>
      </c>
      <c r="J21" s="11">
        <v>32912</v>
      </c>
      <c r="K21" s="34">
        <f t="shared" si="0"/>
        <v>370.37328145265889</v>
      </c>
      <c r="M21" s="34">
        <v>108</v>
      </c>
      <c r="N21" s="34">
        <v>39.5</v>
      </c>
      <c r="O21" s="14">
        <f t="shared" si="1"/>
        <v>0.10298313878080415</v>
      </c>
      <c r="P21" s="14">
        <f t="shared" si="2"/>
        <v>3.4890282131661441</v>
      </c>
      <c r="R21" s="2">
        <v>771</v>
      </c>
      <c r="S21" s="7">
        <v>285557.8</v>
      </c>
      <c r="T21" s="4">
        <v>418.8</v>
      </c>
    </row>
    <row r="22" spans="1:20" x14ac:dyDescent="0.25">
      <c r="A22" s="15" t="s">
        <v>20</v>
      </c>
      <c r="B22" s="23">
        <f>500.5/R22</f>
        <v>0.28373015873015872</v>
      </c>
      <c r="C22" s="36">
        <v>386747.8</v>
      </c>
      <c r="D22" s="34">
        <v>0.16</v>
      </c>
      <c r="E22" s="15">
        <v>8.8000000000000007</v>
      </c>
      <c r="F22" s="15">
        <v>106.2</v>
      </c>
      <c r="G22" s="15">
        <v>35.1</v>
      </c>
      <c r="H22" s="14">
        <f>164.7/R22</f>
        <v>9.3367346938775506E-2</v>
      </c>
      <c r="I22" s="32">
        <v>95.6</v>
      </c>
      <c r="J22" s="15">
        <v>20161</v>
      </c>
      <c r="K22" s="34">
        <f t="shared" si="0"/>
        <v>476.13174603174605</v>
      </c>
      <c r="M22" s="34">
        <v>117.5</v>
      </c>
      <c r="N22" s="34">
        <v>32.4</v>
      </c>
      <c r="O22" s="14">
        <f t="shared" si="1"/>
        <v>0.1903628117913832</v>
      </c>
      <c r="P22" s="14">
        <f t="shared" si="2"/>
        <v>3.0388585306618094</v>
      </c>
      <c r="R22" s="15">
        <v>1764</v>
      </c>
      <c r="S22" s="14">
        <v>839896.4</v>
      </c>
      <c r="T22" s="15">
        <v>750.7</v>
      </c>
    </row>
    <row r="23" spans="1:20" x14ac:dyDescent="0.25">
      <c r="A23" s="15" t="s">
        <v>21</v>
      </c>
      <c r="B23" s="23">
        <f>195.6/R23</f>
        <v>0.14919908466819221</v>
      </c>
      <c r="C23" s="36">
        <v>160461.79999999999</v>
      </c>
      <c r="D23" s="34">
        <v>0.01</v>
      </c>
      <c r="E23" s="15">
        <v>13</v>
      </c>
      <c r="F23" s="15">
        <v>101.8</v>
      </c>
      <c r="G23" s="15">
        <v>24.9</v>
      </c>
      <c r="H23" s="14">
        <f>34.6/R23</f>
        <v>2.639206712433257E-2</v>
      </c>
      <c r="I23" s="32">
        <v>100.2</v>
      </c>
      <c r="J23" s="12">
        <v>18011</v>
      </c>
      <c r="K23" s="34">
        <f t="shared" si="0"/>
        <v>158.58367658276126</v>
      </c>
      <c r="M23" s="34">
        <v>107.2</v>
      </c>
      <c r="N23" s="34">
        <v>51.9</v>
      </c>
      <c r="O23" s="14">
        <f t="shared" si="1"/>
        <v>0.12280701754385964</v>
      </c>
      <c r="P23" s="14">
        <f t="shared" si="2"/>
        <v>5.6531791907514446</v>
      </c>
      <c r="R23" s="15">
        <v>1311</v>
      </c>
      <c r="S23" s="14">
        <v>207903.2</v>
      </c>
      <c r="T23" s="15">
        <v>635.1</v>
      </c>
    </row>
    <row r="24" spans="1:20" x14ac:dyDescent="0.25">
      <c r="A24" s="15" t="s">
        <v>22</v>
      </c>
      <c r="B24" s="23">
        <f>1249.3/R24</f>
        <v>0.38076805851874429</v>
      </c>
      <c r="C24" s="36">
        <v>254630.6</v>
      </c>
      <c r="D24" s="34">
        <v>0.02</v>
      </c>
      <c r="E24" s="15">
        <v>11.8</v>
      </c>
      <c r="F24" s="15">
        <v>103.8</v>
      </c>
      <c r="G24" s="15">
        <v>20.8</v>
      </c>
      <c r="H24" s="14">
        <f>464.9/R24</f>
        <v>0.1416946053032612</v>
      </c>
      <c r="I24" s="32">
        <v>104.5</v>
      </c>
      <c r="J24" s="12">
        <v>24502</v>
      </c>
      <c r="K24" s="34">
        <f t="shared" si="0"/>
        <v>199.83380067052727</v>
      </c>
      <c r="M24" s="34">
        <v>112</v>
      </c>
      <c r="N24" s="34">
        <v>49.7</v>
      </c>
      <c r="O24" s="14">
        <f t="shared" si="1"/>
        <v>0.23907345321548309</v>
      </c>
      <c r="P24" s="14">
        <f t="shared" si="2"/>
        <v>2.6872445687244571</v>
      </c>
      <c r="R24" s="15">
        <v>3281</v>
      </c>
      <c r="S24" s="14">
        <v>655654.69999999995</v>
      </c>
      <c r="T24" s="15">
        <v>1685.6</v>
      </c>
    </row>
    <row r="25" spans="1:20" x14ac:dyDescent="0.25">
      <c r="A25" s="15" t="s">
        <v>23</v>
      </c>
      <c r="B25" s="23">
        <f>1812.1/R25</f>
        <v>0.90199104031856636</v>
      </c>
      <c r="C25" s="36">
        <v>311588.5</v>
      </c>
      <c r="D25" s="34">
        <v>4.32</v>
      </c>
      <c r="E25" s="15">
        <v>14.8</v>
      </c>
      <c r="F25" s="15">
        <v>102.5</v>
      </c>
      <c r="G25" s="15">
        <v>40.200000000000003</v>
      </c>
      <c r="H25" s="14">
        <f>572.1/R25</f>
        <v>0.28476854156296666</v>
      </c>
      <c r="I25" s="32">
        <v>96.9</v>
      </c>
      <c r="J25" s="12">
        <v>18628</v>
      </c>
      <c r="K25" s="34">
        <f t="shared" si="0"/>
        <v>310.59945246391243</v>
      </c>
      <c r="M25" s="34">
        <v>106.4</v>
      </c>
      <c r="N25" s="34">
        <v>55.9</v>
      </c>
      <c r="O25" s="14">
        <f>B25-H25</f>
        <v>0.61722249875559965</v>
      </c>
      <c r="P25" s="14">
        <f t="shared" si="2"/>
        <v>3.1674532424401325</v>
      </c>
      <c r="R25" s="15">
        <v>2009</v>
      </c>
      <c r="S25" s="14">
        <v>623994.30000000005</v>
      </c>
      <c r="T25" s="15">
        <v>1070</v>
      </c>
    </row>
    <row r="26" spans="1:20" x14ac:dyDescent="0.25">
      <c r="A26" s="15" t="s">
        <v>24</v>
      </c>
      <c r="B26" s="23">
        <f>2755.1/R26</f>
        <v>0.85801930862659603</v>
      </c>
      <c r="C26" s="36">
        <v>293001.2</v>
      </c>
      <c r="D26" s="34">
        <v>1.91</v>
      </c>
      <c r="E26" s="15">
        <v>12.3</v>
      </c>
      <c r="F26" s="15">
        <v>105</v>
      </c>
      <c r="G26" s="15">
        <v>19.7</v>
      </c>
      <c r="H26" s="14">
        <f>554.7/R26</f>
        <v>0.17274992214263471</v>
      </c>
      <c r="I26" s="32">
        <v>101</v>
      </c>
      <c r="J26" s="12">
        <v>26864</v>
      </c>
      <c r="K26" s="34">
        <f t="shared" si="0"/>
        <v>143.70632201806291</v>
      </c>
      <c r="M26" s="34">
        <v>102.4</v>
      </c>
      <c r="N26" s="34">
        <v>53.5</v>
      </c>
      <c r="O26" s="14">
        <f t="shared" si="1"/>
        <v>0.6852693864839613</v>
      </c>
      <c r="P26" s="14">
        <f>B26/H26</f>
        <v>4.9668289165314574</v>
      </c>
      <c r="R26" s="15">
        <v>3211</v>
      </c>
      <c r="S26" s="9">
        <v>461441</v>
      </c>
      <c r="T26" s="15">
        <v>1502.6</v>
      </c>
    </row>
    <row r="27" spans="1:20" x14ac:dyDescent="0.25">
      <c r="A27" s="26"/>
      <c r="B27" s="29"/>
      <c r="C27" s="27"/>
      <c r="D27" s="25"/>
      <c r="E27" s="26"/>
      <c r="F27" s="26"/>
      <c r="G27" s="26"/>
      <c r="H27" s="25"/>
      <c r="I27" s="30"/>
      <c r="J27" s="28"/>
      <c r="K27" s="25"/>
      <c r="M27" s="26"/>
      <c r="N27" s="25"/>
      <c r="O27" s="26"/>
    </row>
    <row r="28" spans="1:20" x14ac:dyDescent="0.25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M28" s="25"/>
      <c r="N28" s="25"/>
      <c r="O28" s="25"/>
    </row>
    <row r="29" spans="1:20" x14ac:dyDescent="0.25">
      <c r="A29" s="25"/>
      <c r="B29" s="25"/>
      <c r="C29" s="25"/>
      <c r="E29" s="25"/>
      <c r="J29" s="25"/>
      <c r="K29" s="25"/>
      <c r="M29" s="25"/>
      <c r="N29" s="25"/>
      <c r="O29" s="25"/>
    </row>
    <row r="30" spans="1:20" x14ac:dyDescent="0.25">
      <c r="A30" s="25"/>
      <c r="B30" s="25"/>
      <c r="C30" s="25"/>
      <c r="E30" s="25"/>
      <c r="J30" s="25"/>
      <c r="K30" s="25"/>
      <c r="M30" s="25"/>
      <c r="N30" s="25"/>
      <c r="O30" s="25"/>
    </row>
    <row r="31" spans="1:20" x14ac:dyDescent="0.25">
      <c r="A31" s="25"/>
      <c r="B31" s="25"/>
      <c r="C31" s="25"/>
      <c r="E31" s="25"/>
      <c r="J31" s="25"/>
      <c r="K31" s="25"/>
      <c r="M31" s="25"/>
      <c r="N31" s="25"/>
      <c r="O31" s="25"/>
    </row>
  </sheetData>
  <pageMargins left="0.7" right="0.7" top="0.75" bottom="0.75" header="0.3" footer="0.3"/>
  <pageSetup paperSize="9" orientation="portrait" r:id="rId1"/>
  <ignoredErrors>
    <ignoredError sqref="H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Лист4</vt:lpstr>
      <vt:lpstr>Лист5</vt:lpstr>
      <vt:lpstr>Лист2</vt:lpstr>
      <vt:lpstr>Лист3</vt:lpstr>
      <vt:lpstr>Лист6</vt:lpstr>
      <vt:lpstr>Лист7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баранова</dc:creator>
  <cp:lastModifiedBy>Lolik</cp:lastModifiedBy>
  <dcterms:created xsi:type="dcterms:W3CDTF">2015-06-03T17:22:05Z</dcterms:created>
  <dcterms:modified xsi:type="dcterms:W3CDTF">2015-06-19T06:12:32Z</dcterms:modified>
</cp:coreProperties>
</file>